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7400" windowHeight="12585" tabRatio="403" activeTab="0"/>
  </bookViews>
  <sheets>
    <sheet name="unos" sheetId="1" r:id="rId1"/>
    <sheet name="šifarnik" sheetId="2" state="hidden" r:id="rId2"/>
    <sheet name="plan otplate" sheetId="3" r:id="rId3"/>
    <sheet name="tabela" sheetId="4" r:id="rId4"/>
  </sheets>
  <definedNames>
    <definedName name="Kn">'šifarnik'!$A$2:$A$4</definedName>
    <definedName name="Lk">'šifarnik'!$B$2:$B$5</definedName>
  </definedNames>
  <calcPr fullCalcOnLoad="1"/>
</workbook>
</file>

<file path=xl/comments1.xml><?xml version="1.0" encoding="utf-8"?>
<comments xmlns="http://schemas.openxmlformats.org/spreadsheetml/2006/main">
  <authors>
    <author>Win7</author>
  </authors>
  <commentList>
    <comment ref="D10" authorId="0">
      <text>
        <r>
          <rPr>
            <sz val="9"/>
            <rFont val="Tahoma"/>
            <family val="2"/>
          </rPr>
          <t>podatak unijeti u obliku dan/mjesec bez godine npr. 21/8 za 21.8.2012.</t>
        </r>
      </text>
    </comment>
    <comment ref="C29" authorId="0">
      <text>
        <r>
          <rPr>
            <sz val="9"/>
            <rFont val="Tahoma"/>
            <family val="2"/>
          </rPr>
          <t>do 300 m3</t>
        </r>
      </text>
    </comment>
    <comment ref="C30" authorId="0">
      <text>
        <r>
          <rPr>
            <sz val="9"/>
            <rFont val="Tahoma"/>
            <family val="2"/>
          </rPr>
          <t>od 300 do 3.000 m3</t>
        </r>
      </text>
    </comment>
    <comment ref="C31" authorId="0">
      <text>
        <r>
          <rPr>
            <sz val="9"/>
            <rFont val="Tahoma"/>
            <family val="2"/>
          </rPr>
          <t>od 3.000 do 7.000 m3</t>
        </r>
      </text>
    </comment>
    <comment ref="C32" authorId="0">
      <text>
        <r>
          <rPr>
            <sz val="9"/>
            <rFont val="Tahoma"/>
            <family val="2"/>
          </rPr>
          <t>preko 7.000 m3</t>
        </r>
      </text>
    </comment>
  </commentList>
</comments>
</file>

<file path=xl/sharedStrings.xml><?xml version="1.0" encoding="utf-8"?>
<sst xmlns="http://schemas.openxmlformats.org/spreadsheetml/2006/main" count="50" uniqueCount="48">
  <si>
    <t>Lk</t>
  </si>
  <si>
    <t>koeficijent lokacije</t>
  </si>
  <si>
    <t>naknada po obujmu i namjeni</t>
  </si>
  <si>
    <t>Kn</t>
  </si>
  <si>
    <t>naknada po obujmu</t>
  </si>
  <si>
    <t>koeficijent namjene</t>
  </si>
  <si>
    <t>na koliko rata</t>
  </si>
  <si>
    <t>preostalo</t>
  </si>
  <si>
    <t>iznos</t>
  </si>
  <si>
    <t>dospijeće</t>
  </si>
  <si>
    <t>preostali iznos</t>
  </si>
  <si>
    <t>PLAN OTPLATE OBROKA NAKNADE ZA ZADRŽAVANJE ZGRADE U PROSTORU</t>
  </si>
  <si>
    <t>redni br. obroka</t>
  </si>
  <si>
    <t>iznos rate</t>
  </si>
  <si>
    <t>rata</t>
  </si>
  <si>
    <t>datum rješenja</t>
  </si>
  <si>
    <t>obveznik, adresa</t>
  </si>
  <si>
    <t>Jedinična vrijednost naknade po obujmu (kn/m3)</t>
  </si>
  <si>
    <t>Obujam zgrade (m3)</t>
  </si>
  <si>
    <t>Koeficijent namjene</t>
  </si>
  <si>
    <t>Koeficijent lokacije</t>
  </si>
  <si>
    <t>Iznos naknade (kn)</t>
  </si>
  <si>
    <t>Ukupno naknada</t>
  </si>
  <si>
    <t>općina</t>
  </si>
  <si>
    <t>dospijeće plaćanja</t>
  </si>
  <si>
    <t>5% ili 1000</t>
  </si>
  <si>
    <t>ukupan obujam zgrade (m3)</t>
  </si>
  <si>
    <t>tomo.sb@gmail.com</t>
  </si>
  <si>
    <t>KLASA rješenja</t>
  </si>
  <si>
    <t>URBROJ rješenja</t>
  </si>
  <si>
    <t xml:space="preserve">Lokacija zgrade – položaj u prostoru </t>
  </si>
  <si>
    <t xml:space="preserve">unutar građevinskog područja </t>
  </si>
  <si>
    <t xml:space="preserve">za zgradu poljoprivredne namjene, ribarstva i akvakulture, koja se nalazi izvan građevinskog područja </t>
  </si>
  <si>
    <t xml:space="preserve">izvan građevinskog područja (osim za zgradu poljoprivredne namjene, ribarstva i akvakulture) </t>
  </si>
  <si>
    <t xml:space="preserve">u području gospodarske i zaštitne šume, te šume s posebnom namjenom </t>
  </si>
  <si>
    <t xml:space="preserve">na vodnom dobru (osim za zgradu čija je namjena akvakultura) </t>
  </si>
  <si>
    <t>u zaštićenom obalnom području mora u pojasu do 100 m izvan građevinskog područja (osim za zgradu čija je namjena akvakultura)</t>
  </si>
  <si>
    <t>Namjena zgrade</t>
  </si>
  <si>
    <t>za zgradu poljoprivredne namjene, uključivo ribarstvo i akvakultura</t>
  </si>
  <si>
    <t xml:space="preserve">za zgradu industrijske odnosno gospodarsko-proizvodne namjene </t>
  </si>
  <si>
    <t xml:space="preserve">za zgradu stambene i/ili druge namjene (poslovni prostor, garaža i dr.) </t>
  </si>
  <si>
    <t>iznos naknade:</t>
  </si>
  <si>
    <t>tabela za točku 1. izreke rješenja (za copy/paste)</t>
  </si>
  <si>
    <t>http://www.opcina-oprisavci.hr/download/excel.php</t>
  </si>
  <si>
    <t>v.1.03</t>
  </si>
  <si>
    <t>KAPTOL</t>
  </si>
  <si>
    <t>363-02/12-01/1</t>
  </si>
  <si>
    <t>2177/05-02-12-1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</si>
</sst>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\ [$kn-41A]_-;\-* #,##0.00\ [$kn-41A]_-;_-* &quot;-&quot;??\ [$kn-41A]_-;_-@_-"/>
    <numFmt numFmtId="165" formatCode="dd/mm/yy/;@"/>
    <numFmt numFmtId="166" formatCode="#,##0.0"/>
  </numFmts>
  <fonts count="4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0"/>
      <color indexed="36"/>
      <name val="Calibri"/>
      <family val="2"/>
    </font>
    <font>
      <b/>
      <sz val="10"/>
      <color indexed="36"/>
      <name val="Calibri"/>
      <family val="2"/>
    </font>
    <font>
      <b/>
      <sz val="10"/>
      <color indexed="10"/>
      <name val="Calibri"/>
      <family val="2"/>
    </font>
    <font>
      <b/>
      <sz val="11"/>
      <color indexed="36"/>
      <name val="Calibri"/>
      <family val="2"/>
    </font>
    <font>
      <b/>
      <sz val="10"/>
      <name val="Calibri"/>
      <family val="2"/>
    </font>
    <font>
      <sz val="9"/>
      <name val="Tahoma"/>
      <family val="2"/>
    </font>
    <font>
      <sz val="8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sz val="10"/>
      <color indexed="56"/>
      <name val="Calibri"/>
      <family val="2"/>
    </font>
    <font>
      <sz val="10"/>
      <color indexed="8"/>
      <name val="Calibri"/>
      <family val="2"/>
    </font>
    <font>
      <sz val="8"/>
      <color indexed="63"/>
      <name val="Calibri"/>
      <family val="2"/>
    </font>
    <font>
      <sz val="11"/>
      <color indexed="22"/>
      <name val="Calibri"/>
      <family val="2"/>
    </font>
    <font>
      <sz val="10"/>
      <name val="Calibri"/>
      <family val="2"/>
    </font>
    <font>
      <b/>
      <sz val="10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8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6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 style="thin"/>
      <bottom/>
    </border>
    <border>
      <left style="double">
        <color indexed="23"/>
      </left>
      <right style="double">
        <color indexed="9"/>
      </right>
      <top style="double">
        <color indexed="23"/>
      </top>
      <bottom style="double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hair"/>
    </border>
    <border>
      <left style="double"/>
      <right/>
      <top/>
      <bottom style="double"/>
    </border>
    <border>
      <left/>
      <right/>
      <top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/>
      <right style="thin"/>
      <top/>
      <bottom style="double"/>
    </border>
    <border>
      <left style="thin"/>
      <right/>
      <top style="thin"/>
      <bottom/>
    </border>
    <border>
      <left/>
      <right style="double"/>
      <top style="thin"/>
      <bottom/>
    </border>
    <border>
      <left style="thin"/>
      <right/>
      <top/>
      <bottom style="thin"/>
    </border>
    <border>
      <left/>
      <right style="double"/>
      <top/>
      <bottom style="thin"/>
    </border>
    <border>
      <left style="thin"/>
      <right/>
      <top/>
      <bottom style="double"/>
    </border>
    <border>
      <left/>
      <right style="double"/>
      <top/>
      <bottom style="double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 style="hair"/>
      <bottom style="thin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double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double"/>
      <right/>
      <top/>
      <bottom/>
    </border>
    <border>
      <left/>
      <right style="thin"/>
      <top/>
      <bottom/>
    </border>
    <border>
      <left style="double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double"/>
      <top/>
      <bottom/>
    </border>
    <border>
      <left style="double">
        <color indexed="23"/>
      </left>
      <right/>
      <top style="double">
        <color indexed="23"/>
      </top>
      <bottom style="double">
        <color indexed="9"/>
      </bottom>
    </border>
    <border>
      <left/>
      <right style="double">
        <color indexed="9"/>
      </right>
      <top style="double">
        <color indexed="23"/>
      </top>
      <bottom style="double">
        <color indexed="9"/>
      </bottom>
    </border>
    <border>
      <left/>
      <right/>
      <top style="double">
        <color indexed="23"/>
      </top>
      <bottom style="double">
        <color indexed="9"/>
      </bottom>
    </border>
    <border>
      <left style="double">
        <color indexed="9"/>
      </left>
      <right/>
      <top/>
      <bottom/>
    </border>
    <border>
      <left style="thin">
        <color indexed="9"/>
      </left>
      <right/>
      <top/>
      <bottom/>
    </border>
    <border>
      <left/>
      <right/>
      <top style="thin">
        <color indexed="9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16" borderId="1" applyNumberFormat="0" applyFont="0" applyAlignment="0" applyProtection="0"/>
    <xf numFmtId="0" fontId="10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34" fillId="21" borderId="2" applyNumberFormat="0" applyAlignment="0" applyProtection="0"/>
    <xf numFmtId="0" fontId="35" fillId="21" borderId="3" applyNumberFormat="0" applyAlignment="0" applyProtection="0"/>
    <xf numFmtId="0" fontId="31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2" fillId="23" borderId="8" applyNumberFormat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33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left" indent="1"/>
    </xf>
    <xf numFmtId="165" fontId="0" fillId="0" borderId="0" xfId="0" applyNumberFormat="1" applyAlignment="1">
      <alignment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58" applyNumberFormat="1" applyFont="1" applyBorder="1" applyAlignment="1">
      <alignment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/>
    </xf>
    <xf numFmtId="164" fontId="0" fillId="0" borderId="10" xfId="58" applyNumberFormat="1" applyFont="1" applyBorder="1" applyAlignment="1">
      <alignment/>
    </xf>
    <xf numFmtId="0" fontId="0" fillId="21" borderId="0" xfId="0" applyFill="1" applyAlignment="1" applyProtection="1">
      <alignment/>
      <protection/>
    </xf>
    <xf numFmtId="0" fontId="0" fillId="21" borderId="0" xfId="0" applyFill="1" applyAlignment="1" applyProtection="1">
      <alignment horizontal="center" vertical="center"/>
      <protection/>
    </xf>
    <xf numFmtId="0" fontId="0" fillId="21" borderId="0" xfId="0" applyFont="1" applyFill="1" applyAlignment="1" applyProtection="1">
      <alignment horizontal="right" indent="1"/>
      <protection/>
    </xf>
    <xf numFmtId="0" fontId="1" fillId="21" borderId="0" xfId="0" applyFont="1" applyFill="1" applyAlignment="1" applyProtection="1">
      <alignment horizontal="left" indent="1"/>
      <protection/>
    </xf>
    <xf numFmtId="0" fontId="0" fillId="21" borderId="0" xfId="0" applyFont="1" applyFill="1" applyAlignment="1" applyProtection="1">
      <alignment/>
      <protection/>
    </xf>
    <xf numFmtId="0" fontId="0" fillId="21" borderId="0" xfId="0" applyFont="1" applyFill="1" applyAlignment="1" applyProtection="1">
      <alignment horizontal="left" indent="1"/>
      <protection/>
    </xf>
    <xf numFmtId="0" fontId="12" fillId="21" borderId="0" xfId="0" applyFont="1" applyFill="1" applyAlignment="1" applyProtection="1">
      <alignment horizontal="right"/>
      <protection/>
    </xf>
    <xf numFmtId="165" fontId="12" fillId="21" borderId="0" xfId="0" applyNumberFormat="1" applyFont="1" applyFill="1" applyAlignment="1" applyProtection="1">
      <alignment horizontal="left"/>
      <protection/>
    </xf>
    <xf numFmtId="165" fontId="0" fillId="21" borderId="0" xfId="0" applyNumberFormat="1" applyFont="1" applyFill="1" applyAlignment="1" applyProtection="1">
      <alignment/>
      <protection/>
    </xf>
    <xf numFmtId="0" fontId="13" fillId="21" borderId="0" xfId="0" applyFont="1" applyFill="1" applyAlignment="1" applyProtection="1">
      <alignment horizontal="right"/>
      <protection/>
    </xf>
    <xf numFmtId="165" fontId="13" fillId="21" borderId="0" xfId="0" applyNumberFormat="1" applyFont="1" applyFill="1" applyAlignment="1" applyProtection="1">
      <alignment horizontal="left"/>
      <protection/>
    </xf>
    <xf numFmtId="0" fontId="0" fillId="21" borderId="0" xfId="0" applyFont="1" applyFill="1" applyAlignment="1" applyProtection="1">
      <alignment horizontal="left"/>
      <protection/>
    </xf>
    <xf numFmtId="4" fontId="0" fillId="21" borderId="0" xfId="0" applyNumberFormat="1" applyFont="1" applyFill="1" applyAlignment="1" applyProtection="1">
      <alignment/>
      <protection/>
    </xf>
    <xf numFmtId="0" fontId="0" fillId="21" borderId="0" xfId="0" applyNumberFormat="1" applyFont="1" applyFill="1" applyAlignment="1" applyProtection="1">
      <alignment horizontal="center" vertical="center"/>
      <protection/>
    </xf>
    <xf numFmtId="0" fontId="3" fillId="21" borderId="0" xfId="0" applyNumberFormat="1" applyFont="1" applyFill="1" applyAlignment="1" applyProtection="1">
      <alignment/>
      <protection/>
    </xf>
    <xf numFmtId="164" fontId="3" fillId="21" borderId="0" xfId="0" applyNumberFormat="1" applyFont="1" applyFill="1" applyAlignment="1" applyProtection="1">
      <alignment/>
      <protection/>
    </xf>
    <xf numFmtId="0" fontId="8" fillId="21" borderId="0" xfId="0" applyFont="1" applyFill="1" applyAlignment="1" applyProtection="1">
      <alignment/>
      <protection/>
    </xf>
    <xf numFmtId="0" fontId="20" fillId="21" borderId="0" xfId="0" applyFont="1" applyFill="1" applyAlignment="1" applyProtection="1">
      <alignment horizontal="right" indent="1"/>
      <protection/>
    </xf>
    <xf numFmtId="164" fontId="20" fillId="21" borderId="0" xfId="0" applyNumberFormat="1" applyFont="1" applyFill="1" applyAlignment="1" applyProtection="1">
      <alignment/>
      <protection/>
    </xf>
    <xf numFmtId="0" fontId="8" fillId="21" borderId="0" xfId="0" applyFont="1" applyFill="1" applyAlignment="1" applyProtection="1">
      <alignment horizontal="center"/>
      <protection/>
    </xf>
    <xf numFmtId="164" fontId="0" fillId="21" borderId="0" xfId="0" applyNumberFormat="1" applyFill="1" applyAlignment="1" applyProtection="1">
      <alignment/>
      <protection/>
    </xf>
    <xf numFmtId="0" fontId="9" fillId="21" borderId="0" xfId="0" applyFont="1" applyFill="1" applyAlignment="1" applyProtection="1">
      <alignment horizontal="right" indent="1"/>
      <protection/>
    </xf>
    <xf numFmtId="164" fontId="9" fillId="21" borderId="0" xfId="0" applyNumberFormat="1" applyFont="1" applyFill="1" applyAlignment="1" applyProtection="1">
      <alignment/>
      <protection/>
    </xf>
    <xf numFmtId="0" fontId="14" fillId="21" borderId="0" xfId="0" applyFont="1" applyFill="1" applyAlignment="1" applyProtection="1">
      <alignment/>
      <protection/>
    </xf>
    <xf numFmtId="9" fontId="10" fillId="21" borderId="0" xfId="0" applyNumberFormat="1" applyFont="1" applyFill="1" applyAlignment="1" applyProtection="1">
      <alignment horizontal="center" vertical="center"/>
      <protection/>
    </xf>
    <xf numFmtId="0" fontId="14" fillId="21" borderId="0" xfId="0" applyFont="1" applyFill="1" applyAlignment="1" applyProtection="1">
      <alignment horizontal="center"/>
      <protection/>
    </xf>
    <xf numFmtId="164" fontId="10" fillId="21" borderId="0" xfId="0" applyNumberFormat="1" applyFont="1" applyFill="1" applyAlignment="1" applyProtection="1">
      <alignment horizontal="center"/>
      <protection/>
    </xf>
    <xf numFmtId="0" fontId="15" fillId="21" borderId="0" xfId="0" applyFont="1" applyFill="1" applyBorder="1" applyAlignment="1" applyProtection="1">
      <alignment/>
      <protection/>
    </xf>
    <xf numFmtId="164" fontId="21" fillId="21" borderId="0" xfId="0" applyNumberFormat="1" applyFont="1" applyFill="1" applyBorder="1" applyAlignment="1" applyProtection="1">
      <alignment vertical="center"/>
      <protection/>
    </xf>
    <xf numFmtId="164" fontId="12" fillId="21" borderId="0" xfId="0" applyNumberFormat="1" applyFont="1" applyFill="1" applyBorder="1" applyAlignment="1" applyProtection="1">
      <alignment vertical="center"/>
      <protection/>
    </xf>
    <xf numFmtId="0" fontId="0" fillId="21" borderId="0" xfId="0" applyFill="1" applyAlignment="1" applyProtection="1">
      <alignment horizontal="right" vertical="center"/>
      <protection/>
    </xf>
    <xf numFmtId="0" fontId="1" fillId="21" borderId="0" xfId="0" applyFont="1" applyFill="1" applyAlignment="1" applyProtection="1">
      <alignment horizontal="center" vertical="center"/>
      <protection/>
    </xf>
    <xf numFmtId="0" fontId="1" fillId="21" borderId="0" xfId="0" applyFont="1" applyFill="1" applyAlignment="1" applyProtection="1">
      <alignment horizontal="center"/>
      <protection/>
    </xf>
    <xf numFmtId="2" fontId="0" fillId="21" borderId="0" xfId="0" applyNumberFormat="1" applyFill="1" applyAlignment="1" applyProtection="1">
      <alignment/>
      <protection/>
    </xf>
    <xf numFmtId="4" fontId="0" fillId="21" borderId="11" xfId="0" applyNumberFormat="1" applyFill="1" applyBorder="1" applyAlignment="1" applyProtection="1">
      <alignment horizontal="right" vertical="center" indent="3"/>
      <protection/>
    </xf>
    <xf numFmtId="0" fontId="0" fillId="21" borderId="11" xfId="0" applyFill="1" applyBorder="1" applyAlignment="1" applyProtection="1">
      <alignment horizontal="right" vertical="center" indent="5"/>
      <protection/>
    </xf>
    <xf numFmtId="0" fontId="0" fillId="21" borderId="11" xfId="0" applyFill="1" applyBorder="1" applyAlignment="1" applyProtection="1">
      <alignment horizontal="center" vertical="center"/>
      <protection/>
    </xf>
    <xf numFmtId="164" fontId="7" fillId="21" borderId="11" xfId="51" applyNumberFormat="1" applyFont="1" applyFill="1" applyBorder="1" applyAlignment="1" applyProtection="1">
      <alignment vertical="center"/>
      <protection/>
    </xf>
    <xf numFmtId="4" fontId="0" fillId="21" borderId="12" xfId="0" applyNumberFormat="1" applyFill="1" applyBorder="1" applyAlignment="1" applyProtection="1">
      <alignment horizontal="right" vertical="center" indent="3"/>
      <protection/>
    </xf>
    <xf numFmtId="0" fontId="0" fillId="21" borderId="12" xfId="0" applyFill="1" applyBorder="1" applyAlignment="1" applyProtection="1">
      <alignment horizontal="right" vertical="center" indent="5"/>
      <protection/>
    </xf>
    <xf numFmtId="0" fontId="0" fillId="21" borderId="12" xfId="0" applyFill="1" applyBorder="1" applyAlignment="1" applyProtection="1">
      <alignment horizontal="center" vertical="center"/>
      <protection/>
    </xf>
    <xf numFmtId="164" fontId="7" fillId="21" borderId="12" xfId="0" applyNumberFormat="1" applyFont="1" applyFill="1" applyBorder="1" applyAlignment="1" applyProtection="1">
      <alignment vertical="center"/>
      <protection/>
    </xf>
    <xf numFmtId="4" fontId="0" fillId="21" borderId="13" xfId="0" applyNumberFormat="1" applyFill="1" applyBorder="1" applyAlignment="1" applyProtection="1">
      <alignment horizontal="right" vertical="center" indent="3"/>
      <protection/>
    </xf>
    <xf numFmtId="0" fontId="0" fillId="21" borderId="13" xfId="0" applyFill="1" applyBorder="1" applyAlignment="1" applyProtection="1">
      <alignment horizontal="right" vertical="center" indent="5"/>
      <protection/>
    </xf>
    <xf numFmtId="0" fontId="0" fillId="21" borderId="13" xfId="0" applyFill="1" applyBorder="1" applyAlignment="1" applyProtection="1">
      <alignment horizontal="center" vertical="center"/>
      <protection/>
    </xf>
    <xf numFmtId="164" fontId="7" fillId="21" borderId="13" xfId="0" applyNumberFormat="1" applyFont="1" applyFill="1" applyBorder="1" applyAlignment="1" applyProtection="1">
      <alignment vertical="center"/>
      <protection/>
    </xf>
    <xf numFmtId="0" fontId="0" fillId="21" borderId="0" xfId="0" applyFill="1" applyBorder="1" applyAlignment="1" applyProtection="1">
      <alignment/>
      <protection/>
    </xf>
    <xf numFmtId="0" fontId="0" fillId="21" borderId="14" xfId="0" applyFill="1" applyBorder="1" applyAlignment="1" applyProtection="1">
      <alignment/>
      <protection/>
    </xf>
    <xf numFmtId="0" fontId="0" fillId="21" borderId="0" xfId="0" applyFill="1" applyBorder="1" applyAlignment="1" applyProtection="1">
      <alignment horizontal="right"/>
      <protection/>
    </xf>
    <xf numFmtId="164" fontId="7" fillId="21" borderId="14" xfId="0" applyNumberFormat="1" applyFont="1" applyFill="1" applyBorder="1" applyAlignment="1" applyProtection="1">
      <alignment/>
      <protection/>
    </xf>
    <xf numFmtId="0" fontId="1" fillId="21" borderId="0" xfId="0" applyFont="1" applyFill="1" applyAlignment="1" applyProtection="1">
      <alignment horizontal="right"/>
      <protection/>
    </xf>
    <xf numFmtId="164" fontId="1" fillId="21" borderId="0" xfId="51" applyNumberFormat="1" applyFont="1" applyFill="1" applyAlignment="1" applyProtection="1">
      <alignment/>
      <protection/>
    </xf>
    <xf numFmtId="0" fontId="19" fillId="21" borderId="0" xfId="35" applyFill="1" applyAlignment="1" applyProtection="1">
      <alignment horizontal="center" vertical="center"/>
      <protection/>
    </xf>
    <xf numFmtId="0" fontId="9" fillId="21" borderId="0" xfId="0" applyFont="1" applyFill="1" applyAlignment="1" applyProtection="1">
      <alignment horizontal="right"/>
      <protection/>
    </xf>
    <xf numFmtId="9" fontId="9" fillId="21" borderId="0" xfId="0" applyNumberFormat="1" applyFont="1" applyFill="1" applyAlignment="1" applyProtection="1">
      <alignment horizontal="center"/>
      <protection/>
    </xf>
    <xf numFmtId="164" fontId="9" fillId="21" borderId="0" xfId="0" applyNumberFormat="1" applyFont="1" applyFill="1" applyAlignment="1" applyProtection="1">
      <alignment horizontal="center" vertical="center"/>
      <protection/>
    </xf>
    <xf numFmtId="164" fontId="9" fillId="21" borderId="0" xfId="0" applyNumberFormat="1" applyFont="1" applyFill="1" applyAlignment="1" applyProtection="1">
      <alignment/>
      <protection/>
    </xf>
    <xf numFmtId="164" fontId="7" fillId="21" borderId="0" xfId="0" applyNumberFormat="1" applyFont="1" applyFill="1" applyAlignment="1" applyProtection="1">
      <alignment/>
      <protection/>
    </xf>
    <xf numFmtId="164" fontId="4" fillId="21" borderId="0" xfId="0" applyNumberFormat="1" applyFont="1" applyFill="1" applyAlignment="1" applyProtection="1">
      <alignment/>
      <protection/>
    </xf>
    <xf numFmtId="4" fontId="15" fillId="21" borderId="0" xfId="0" applyNumberFormat="1" applyFont="1" applyFill="1" applyAlignment="1" applyProtection="1">
      <alignment/>
      <protection/>
    </xf>
    <xf numFmtId="164" fontId="1" fillId="21" borderId="0" xfId="0" applyNumberFormat="1" applyFont="1" applyFill="1" applyAlignment="1" applyProtection="1">
      <alignment/>
      <protection/>
    </xf>
    <xf numFmtId="4" fontId="11" fillId="21" borderId="0" xfId="0" applyNumberFormat="1" applyFont="1" applyFill="1" applyAlignment="1" applyProtection="1">
      <alignment/>
      <protection/>
    </xf>
    <xf numFmtId="165" fontId="0" fillId="21" borderId="15" xfId="0" applyNumberFormat="1" applyFont="1" applyFill="1" applyBorder="1" applyAlignment="1" applyProtection="1">
      <alignment horizontal="center" vertical="center"/>
      <protection locked="0"/>
    </xf>
    <xf numFmtId="0" fontId="0" fillId="21" borderId="15" xfId="0" applyNumberFormat="1" applyFont="1" applyFill="1" applyBorder="1" applyAlignment="1" applyProtection="1">
      <alignment horizontal="center" vertical="center"/>
      <protection locked="0"/>
    </xf>
    <xf numFmtId="0" fontId="0" fillId="21" borderId="15" xfId="0" applyFont="1" applyFill="1" applyBorder="1" applyAlignment="1" applyProtection="1">
      <alignment horizontal="center" vertical="center"/>
      <protection locked="0"/>
    </xf>
    <xf numFmtId="0" fontId="3" fillId="24" borderId="16" xfId="0" applyFont="1" applyFill="1" applyBorder="1" applyAlignment="1" applyProtection="1">
      <alignment horizontal="right" vertical="center"/>
      <protection/>
    </xf>
    <xf numFmtId="164" fontId="2" fillId="24" borderId="17" xfId="0" applyNumberFormat="1" applyFont="1" applyFill="1" applyBorder="1" applyAlignment="1" applyProtection="1">
      <alignment vertical="center"/>
      <protection/>
    </xf>
    <xf numFmtId="0" fontId="4" fillId="21" borderId="10" xfId="0" applyFont="1" applyFill="1" applyBorder="1" applyAlignment="1" applyProtection="1">
      <alignment horizontal="right"/>
      <protection/>
    </xf>
    <xf numFmtId="164" fontId="4" fillId="21" borderId="10" xfId="0" applyNumberFormat="1" applyFont="1" applyFill="1" applyBorder="1" applyAlignment="1" applyProtection="1">
      <alignment/>
      <protection/>
    </xf>
    <xf numFmtId="0" fontId="24" fillId="21" borderId="0" xfId="0" applyNumberFormat="1" applyFont="1" applyFill="1" applyAlignment="1" applyProtection="1">
      <alignment horizontal="center" vertical="center"/>
      <protection/>
    </xf>
    <xf numFmtId="4" fontId="1" fillId="21" borderId="10" xfId="0" applyNumberFormat="1" applyFont="1" applyFill="1" applyBorder="1" applyAlignment="1" applyProtection="1">
      <alignment horizontal="right" indent="3"/>
      <protection/>
    </xf>
    <xf numFmtId="0" fontId="22" fillId="21" borderId="0" xfId="0" applyFont="1" applyFill="1" applyAlignment="1" applyProtection="1">
      <alignment/>
      <protection/>
    </xf>
    <xf numFmtId="0" fontId="22" fillId="21" borderId="0" xfId="0" applyFont="1" applyFill="1" applyAlignment="1" applyProtection="1">
      <alignment horizontal="right" vertical="center"/>
      <protection/>
    </xf>
    <xf numFmtId="0" fontId="1" fillId="21" borderId="0" xfId="0" applyFont="1" applyFill="1" applyAlignment="1" applyProtection="1">
      <alignment horizontal="right" indent="1"/>
      <protection/>
    </xf>
    <xf numFmtId="4" fontId="1" fillId="21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4" fontId="0" fillId="0" borderId="0" xfId="0" applyNumberFormat="1" applyFill="1" applyBorder="1" applyAlignment="1" applyProtection="1">
      <alignment/>
      <protection/>
    </xf>
    <xf numFmtId="4" fontId="0" fillId="0" borderId="14" xfId="0" applyNumberFormat="1" applyFill="1" applyBorder="1" applyAlignment="1" applyProtection="1">
      <alignment/>
      <protection/>
    </xf>
    <xf numFmtId="0" fontId="0" fillId="0" borderId="0" xfId="0" applyFill="1" applyAlignment="1">
      <alignment/>
    </xf>
    <xf numFmtId="4" fontId="25" fillId="0" borderId="18" xfId="0" applyNumberFormat="1" applyFont="1" applyFill="1" applyBorder="1" applyAlignment="1" applyProtection="1">
      <alignment horizontal="right" vertical="center" wrapText="1" indent="3"/>
      <protection/>
    </xf>
    <xf numFmtId="3" fontId="25" fillId="0" borderId="18" xfId="0" applyNumberFormat="1" applyFont="1" applyFill="1" applyBorder="1" applyAlignment="1" applyProtection="1">
      <alignment horizontal="right" vertical="center" wrapText="1" indent="6"/>
      <protection/>
    </xf>
    <xf numFmtId="166" fontId="25" fillId="0" borderId="18" xfId="0" applyNumberFormat="1" applyFont="1" applyFill="1" applyBorder="1" applyAlignment="1" applyProtection="1">
      <alignment horizontal="center" vertical="center" wrapText="1"/>
      <protection/>
    </xf>
    <xf numFmtId="3" fontId="25" fillId="0" borderId="18" xfId="0" applyNumberFormat="1" applyFont="1" applyFill="1" applyBorder="1" applyAlignment="1" applyProtection="1">
      <alignment horizontal="center" vertical="center" wrapText="1"/>
      <protection/>
    </xf>
    <xf numFmtId="164" fontId="25" fillId="0" borderId="18" xfId="0" applyNumberFormat="1" applyFont="1" applyFill="1" applyBorder="1" applyAlignment="1" applyProtection="1">
      <alignment vertical="center" wrapText="1"/>
      <protection/>
    </xf>
    <xf numFmtId="4" fontId="25" fillId="0" borderId="12" xfId="0" applyNumberFormat="1" applyFont="1" applyFill="1" applyBorder="1" applyAlignment="1" applyProtection="1">
      <alignment horizontal="right" vertical="center" wrapText="1" indent="3"/>
      <protection/>
    </xf>
    <xf numFmtId="3" fontId="25" fillId="0" borderId="12" xfId="0" applyNumberFormat="1" applyFont="1" applyFill="1" applyBorder="1" applyAlignment="1" applyProtection="1">
      <alignment horizontal="right" vertical="center" wrapText="1" indent="6"/>
      <protection/>
    </xf>
    <xf numFmtId="166" fontId="25" fillId="0" borderId="12" xfId="0" applyNumberFormat="1" applyFont="1" applyFill="1" applyBorder="1" applyAlignment="1" applyProtection="1">
      <alignment horizontal="center" vertical="center" wrapText="1"/>
      <protection/>
    </xf>
    <xf numFmtId="3" fontId="25" fillId="0" borderId="12" xfId="0" applyNumberFormat="1" applyFont="1" applyFill="1" applyBorder="1" applyAlignment="1" applyProtection="1">
      <alignment horizontal="center" vertical="center" wrapText="1"/>
      <protection/>
    </xf>
    <xf numFmtId="164" fontId="25" fillId="0" borderId="12" xfId="0" applyNumberFormat="1" applyFont="1" applyFill="1" applyBorder="1" applyAlignment="1" applyProtection="1">
      <alignment vertical="center" wrapText="1"/>
      <protection/>
    </xf>
    <xf numFmtId="4" fontId="25" fillId="0" borderId="13" xfId="0" applyNumberFormat="1" applyFont="1" applyFill="1" applyBorder="1" applyAlignment="1" applyProtection="1">
      <alignment horizontal="right" vertical="center" wrapText="1" indent="3"/>
      <protection/>
    </xf>
    <xf numFmtId="3" fontId="25" fillId="0" borderId="13" xfId="0" applyNumberFormat="1" applyFont="1" applyFill="1" applyBorder="1" applyAlignment="1" applyProtection="1">
      <alignment horizontal="right" vertical="center" wrapText="1" indent="6"/>
      <protection/>
    </xf>
    <xf numFmtId="166" fontId="25" fillId="0" borderId="13" xfId="0" applyNumberFormat="1" applyFont="1" applyFill="1" applyBorder="1" applyAlignment="1" applyProtection="1">
      <alignment horizontal="center" vertical="center" wrapText="1"/>
      <protection/>
    </xf>
    <xf numFmtId="3" fontId="25" fillId="0" borderId="13" xfId="0" applyNumberFormat="1" applyFont="1" applyFill="1" applyBorder="1" applyAlignment="1" applyProtection="1">
      <alignment horizontal="center" vertical="center" wrapText="1"/>
      <protection/>
    </xf>
    <xf numFmtId="164" fontId="25" fillId="0" borderId="13" xfId="0" applyNumberFormat="1" applyFont="1" applyFill="1" applyBorder="1" applyAlignment="1" applyProtection="1">
      <alignment vertical="center" wrapText="1"/>
      <protection/>
    </xf>
    <xf numFmtId="4" fontId="16" fillId="0" borderId="0" xfId="0" applyNumberFormat="1" applyFont="1" applyFill="1" applyBorder="1" applyAlignment="1" applyProtection="1">
      <alignment vertical="center" wrapText="1"/>
      <protection/>
    </xf>
    <xf numFmtId="164" fontId="16" fillId="0" borderId="14" xfId="0" applyNumberFormat="1" applyFont="1" applyFill="1" applyBorder="1" applyAlignment="1" applyProtection="1">
      <alignment vertical="center" wrapText="1"/>
      <protection/>
    </xf>
    <xf numFmtId="164" fontId="16" fillId="0" borderId="0" xfId="0" applyNumberFormat="1" applyFont="1" applyFill="1" applyBorder="1" applyAlignment="1" applyProtection="1">
      <alignment vertical="center" wrapText="1"/>
      <protection/>
    </xf>
    <xf numFmtId="164" fontId="25" fillId="0" borderId="0" xfId="0" applyNumberFormat="1" applyFont="1" applyFill="1" applyBorder="1" applyAlignment="1" applyProtection="1">
      <alignment vertical="center" wrapText="1"/>
      <protection/>
    </xf>
    <xf numFmtId="4" fontId="16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21" borderId="0" xfId="0" applyFill="1" applyAlignment="1" applyProtection="1">
      <alignment horizontal="center"/>
      <protection/>
    </xf>
    <xf numFmtId="4" fontId="5" fillId="0" borderId="10" xfId="0" applyNumberFormat="1" applyFont="1" applyFill="1" applyBorder="1" applyAlignment="1" applyProtection="1">
      <alignment horizontal="right" indent="3"/>
      <protection/>
    </xf>
    <xf numFmtId="0" fontId="0" fillId="21" borderId="0" xfId="0" applyFill="1" applyAlignment="1" applyProtection="1">
      <alignment/>
      <protection/>
    </xf>
    <xf numFmtId="164" fontId="0" fillId="21" borderId="0" xfId="0" applyNumberFormat="1" applyFill="1" applyAlignment="1" applyProtection="1">
      <alignment/>
      <protection/>
    </xf>
    <xf numFmtId="2" fontId="0" fillId="21" borderId="0" xfId="0" applyNumberFormat="1" applyFill="1" applyAlignment="1" applyProtection="1">
      <alignment/>
      <protection/>
    </xf>
    <xf numFmtId="0" fontId="2" fillId="0" borderId="0" xfId="0" applyFont="1" applyAlignment="1">
      <alignment horizontal="center"/>
    </xf>
    <xf numFmtId="0" fontId="5" fillId="23" borderId="10" xfId="0" applyFont="1" applyFill="1" applyBorder="1" applyAlignment="1">
      <alignment horizontal="center" vertical="center" wrapText="1"/>
    </xf>
    <xf numFmtId="0" fontId="21" fillId="21" borderId="0" xfId="0" applyFont="1" applyFill="1" applyAlignment="1" applyProtection="1">
      <alignment vertical="top"/>
      <protection/>
    </xf>
    <xf numFmtId="0" fontId="1" fillId="0" borderId="0" xfId="0" applyFont="1" applyAlignment="1" applyProtection="1">
      <alignment horizontal="center"/>
      <protection/>
    </xf>
    <xf numFmtId="0" fontId="16" fillId="23" borderId="19" xfId="0" applyFont="1" applyFill="1" applyBorder="1" applyAlignment="1" applyProtection="1">
      <alignment horizontal="center" vertical="center" wrapText="1"/>
      <protection/>
    </xf>
    <xf numFmtId="0" fontId="16" fillId="23" borderId="20" xfId="0" applyFont="1" applyFill="1" applyBorder="1" applyAlignment="1" applyProtection="1">
      <alignment horizontal="center" vertical="center" wrapText="1"/>
      <protection/>
    </xf>
    <xf numFmtId="0" fontId="22" fillId="21" borderId="21" xfId="0" applyFont="1" applyFill="1" applyBorder="1" applyAlignment="1" applyProtection="1">
      <alignment horizontal="left" vertical="center" indent="1"/>
      <protection/>
    </xf>
    <xf numFmtId="0" fontId="22" fillId="21" borderId="10" xfId="0" applyFont="1" applyFill="1" applyBorder="1" applyAlignment="1" applyProtection="1">
      <alignment horizontal="left" vertical="center" indent="1"/>
      <protection/>
    </xf>
    <xf numFmtId="0" fontId="22" fillId="21" borderId="22" xfId="0" applyFont="1" applyFill="1" applyBorder="1" applyAlignment="1" applyProtection="1">
      <alignment horizontal="left" vertical="center" indent="1"/>
      <protection/>
    </xf>
    <xf numFmtId="0" fontId="22" fillId="21" borderId="23" xfId="0" applyFont="1" applyFill="1" applyBorder="1" applyAlignment="1" applyProtection="1">
      <alignment horizontal="left" vertical="center" indent="1"/>
      <protection/>
    </xf>
    <xf numFmtId="0" fontId="6" fillId="21" borderId="10" xfId="0" applyFont="1" applyFill="1" applyBorder="1" applyAlignment="1" applyProtection="1">
      <alignment horizontal="center" vertical="center"/>
      <protection/>
    </xf>
    <xf numFmtId="0" fontId="6" fillId="21" borderId="24" xfId="0" applyFont="1" applyFill="1" applyBorder="1" applyAlignment="1" applyProtection="1">
      <alignment horizontal="center" vertical="center"/>
      <protection/>
    </xf>
    <xf numFmtId="0" fontId="6" fillId="21" borderId="23" xfId="0" applyFont="1" applyFill="1" applyBorder="1" applyAlignment="1" applyProtection="1">
      <alignment horizontal="center" vertical="center"/>
      <protection/>
    </xf>
    <xf numFmtId="0" fontId="6" fillId="21" borderId="25" xfId="0" applyFont="1" applyFill="1" applyBorder="1" applyAlignment="1" applyProtection="1">
      <alignment horizontal="center" vertical="center"/>
      <protection/>
    </xf>
    <xf numFmtId="0" fontId="16" fillId="23" borderId="26" xfId="0" applyFont="1" applyFill="1" applyBorder="1" applyAlignment="1" applyProtection="1">
      <alignment horizontal="center" vertical="center" wrapText="1"/>
      <protection/>
    </xf>
    <xf numFmtId="0" fontId="16" fillId="23" borderId="27" xfId="0" applyFont="1" applyFill="1" applyBorder="1" applyAlignment="1" applyProtection="1">
      <alignment horizontal="center" vertical="center" wrapText="1"/>
      <protection/>
    </xf>
    <xf numFmtId="0" fontId="16" fillId="23" borderId="28" xfId="0" applyFont="1" applyFill="1" applyBorder="1" applyAlignment="1" applyProtection="1">
      <alignment horizontal="center" vertical="center" wrapText="1"/>
      <protection/>
    </xf>
    <xf numFmtId="0" fontId="16" fillId="23" borderId="29" xfId="0" applyFont="1" applyFill="1" applyBorder="1" applyAlignment="1" applyProtection="1">
      <alignment horizontal="center" vertical="center" wrapText="1"/>
      <protection/>
    </xf>
    <xf numFmtId="0" fontId="16" fillId="23" borderId="30" xfId="0" applyFont="1" applyFill="1" applyBorder="1" applyAlignment="1" applyProtection="1">
      <alignment horizontal="center" vertical="center" wrapText="1"/>
      <protection/>
    </xf>
    <xf numFmtId="0" fontId="22" fillId="21" borderId="31" xfId="0" applyFont="1" applyFill="1" applyBorder="1" applyAlignment="1" applyProtection="1">
      <alignment horizontal="left" vertical="center" indent="1"/>
      <protection/>
    </xf>
    <xf numFmtId="0" fontId="22" fillId="21" borderId="32" xfId="0" applyFont="1" applyFill="1" applyBorder="1" applyAlignment="1" applyProtection="1">
      <alignment horizontal="left" vertical="center" indent="1"/>
      <protection/>
    </xf>
    <xf numFmtId="0" fontId="6" fillId="21" borderId="32" xfId="0" applyFont="1" applyFill="1" applyBorder="1" applyAlignment="1" applyProtection="1">
      <alignment horizontal="center" vertical="center"/>
      <protection/>
    </xf>
    <xf numFmtId="0" fontId="6" fillId="21" borderId="33" xfId="0" applyFont="1" applyFill="1" applyBorder="1" applyAlignment="1" applyProtection="1">
      <alignment horizontal="center" vertical="center"/>
      <protection/>
    </xf>
    <xf numFmtId="0" fontId="16" fillId="23" borderId="34" xfId="0" applyFont="1" applyFill="1" applyBorder="1" applyAlignment="1" applyProtection="1">
      <alignment horizontal="center" vertical="center" wrapText="1"/>
      <protection/>
    </xf>
    <xf numFmtId="0" fontId="6" fillId="21" borderId="35" xfId="0" applyFont="1" applyFill="1" applyBorder="1" applyAlignment="1" applyProtection="1">
      <alignment horizontal="center" vertical="center"/>
      <protection/>
    </xf>
    <xf numFmtId="0" fontId="6" fillId="21" borderId="36" xfId="0" applyFont="1" applyFill="1" applyBorder="1" applyAlignment="1" applyProtection="1">
      <alignment horizontal="center" vertical="center"/>
      <protection/>
    </xf>
    <xf numFmtId="0" fontId="6" fillId="21" borderId="37" xfId="0" applyFont="1" applyFill="1" applyBorder="1" applyAlignment="1" applyProtection="1">
      <alignment horizontal="center" vertical="center"/>
      <protection/>
    </xf>
    <xf numFmtId="0" fontId="6" fillId="21" borderId="38" xfId="0" applyFont="1" applyFill="1" applyBorder="1" applyAlignment="1" applyProtection="1">
      <alignment horizontal="center" vertical="center"/>
      <protection/>
    </xf>
    <xf numFmtId="0" fontId="16" fillId="23" borderId="39" xfId="0" applyFont="1" applyFill="1" applyBorder="1" applyAlignment="1" applyProtection="1">
      <alignment horizontal="center" vertical="center" wrapText="1"/>
      <protection/>
    </xf>
    <xf numFmtId="0" fontId="16" fillId="23" borderId="40" xfId="0" applyFont="1" applyFill="1" applyBorder="1" applyAlignment="1" applyProtection="1">
      <alignment horizontal="center" vertical="center" wrapText="1"/>
      <protection/>
    </xf>
    <xf numFmtId="0" fontId="22" fillId="21" borderId="41" xfId="0" applyFont="1" applyFill="1" applyBorder="1" applyAlignment="1" applyProtection="1">
      <alignment horizontal="left" vertical="center" wrapText="1" indent="1"/>
      <protection/>
    </xf>
    <xf numFmtId="0" fontId="22" fillId="21" borderId="18" xfId="0" applyFont="1" applyFill="1" applyBorder="1" applyAlignment="1" applyProtection="1">
      <alignment horizontal="left" vertical="center" wrapText="1" indent="1"/>
      <protection/>
    </xf>
    <xf numFmtId="0" fontId="22" fillId="21" borderId="42" xfId="0" applyFont="1" applyFill="1" applyBorder="1" applyAlignment="1" applyProtection="1">
      <alignment horizontal="left" vertical="center" wrapText="1" indent="1"/>
      <protection/>
    </xf>
    <xf numFmtId="0" fontId="22" fillId="21" borderId="12" xfId="0" applyFont="1" applyFill="1" applyBorder="1" applyAlignment="1" applyProtection="1">
      <alignment horizontal="left" vertical="center" wrapText="1" indent="1"/>
      <protection/>
    </xf>
    <xf numFmtId="0" fontId="6" fillId="21" borderId="43" xfId="0" applyFont="1" applyFill="1" applyBorder="1" applyAlignment="1" applyProtection="1">
      <alignment horizontal="center" vertical="center"/>
      <protection/>
    </xf>
    <xf numFmtId="0" fontId="6" fillId="21" borderId="44" xfId="0" applyFont="1" applyFill="1" applyBorder="1" applyAlignment="1" applyProtection="1">
      <alignment horizontal="center" vertical="center"/>
      <protection/>
    </xf>
    <xf numFmtId="0" fontId="22" fillId="21" borderId="45" xfId="0" applyFont="1" applyFill="1" applyBorder="1" applyAlignment="1" applyProtection="1">
      <alignment horizontal="left" vertical="center" wrapText="1" indent="1"/>
      <protection/>
    </xf>
    <xf numFmtId="0" fontId="22" fillId="21" borderId="13" xfId="0" applyFont="1" applyFill="1" applyBorder="1" applyAlignment="1" applyProtection="1">
      <alignment horizontal="left" vertical="center" wrapText="1" indent="1"/>
      <protection/>
    </xf>
    <xf numFmtId="0" fontId="22" fillId="21" borderId="46" xfId="0" applyFont="1" applyFill="1" applyBorder="1" applyAlignment="1" applyProtection="1">
      <alignment horizontal="left" indent="1"/>
      <protection/>
    </xf>
    <xf numFmtId="0" fontId="22" fillId="21" borderId="47" xfId="0" applyFont="1" applyFill="1" applyBorder="1" applyAlignment="1" applyProtection="1">
      <alignment horizontal="left" indent="1"/>
      <protection/>
    </xf>
    <xf numFmtId="0" fontId="22" fillId="21" borderId="48" xfId="0" applyFont="1" applyFill="1" applyBorder="1" applyAlignment="1" applyProtection="1">
      <alignment horizontal="left" vertical="center" wrapText="1" indent="1"/>
      <protection/>
    </xf>
    <xf numFmtId="0" fontId="22" fillId="21" borderId="49" xfId="0" applyFont="1" applyFill="1" applyBorder="1" applyAlignment="1" applyProtection="1">
      <alignment horizontal="left" vertical="center" wrapText="1" indent="1"/>
      <protection/>
    </xf>
    <xf numFmtId="0" fontId="22" fillId="21" borderId="50" xfId="0" applyFont="1" applyFill="1" applyBorder="1" applyAlignment="1" applyProtection="1">
      <alignment horizontal="left" vertical="center" wrapText="1" indent="1"/>
      <protection/>
    </xf>
    <xf numFmtId="0" fontId="22" fillId="21" borderId="51" xfId="0" applyFont="1" applyFill="1" applyBorder="1" applyAlignment="1" applyProtection="1">
      <alignment horizontal="left" vertical="center" wrapText="1" indent="1"/>
      <protection/>
    </xf>
    <xf numFmtId="0" fontId="22" fillId="21" borderId="0" xfId="0" applyFont="1" applyFill="1" applyBorder="1" applyAlignment="1" applyProtection="1">
      <alignment horizontal="left" vertical="center" wrapText="1" indent="1"/>
      <protection/>
    </xf>
    <xf numFmtId="0" fontId="22" fillId="21" borderId="52" xfId="0" applyFont="1" applyFill="1" applyBorder="1" applyAlignment="1" applyProtection="1">
      <alignment horizontal="left" vertical="center" wrapText="1" indent="1"/>
      <protection/>
    </xf>
    <xf numFmtId="0" fontId="22" fillId="21" borderId="53" xfId="0" applyFont="1" applyFill="1" applyBorder="1" applyAlignment="1" applyProtection="1">
      <alignment horizontal="left" vertical="center" wrapText="1" indent="1"/>
      <protection/>
    </xf>
    <xf numFmtId="0" fontId="22" fillId="21" borderId="54" xfId="0" applyFont="1" applyFill="1" applyBorder="1" applyAlignment="1" applyProtection="1">
      <alignment horizontal="left" vertical="center" wrapText="1" indent="1"/>
      <protection/>
    </xf>
    <xf numFmtId="0" fontId="22" fillId="21" borderId="55" xfId="0" applyFont="1" applyFill="1" applyBorder="1" applyAlignment="1" applyProtection="1">
      <alignment horizontal="left" vertical="center" wrapText="1" indent="1"/>
      <protection/>
    </xf>
    <xf numFmtId="0" fontId="21" fillId="21" borderId="0" xfId="0" applyFont="1" applyFill="1" applyBorder="1" applyAlignment="1" applyProtection="1">
      <alignment horizontal="right" vertical="center"/>
      <protection/>
    </xf>
    <xf numFmtId="0" fontId="26" fillId="21" borderId="0" xfId="0" applyFont="1" applyFill="1" applyBorder="1" applyAlignment="1" applyProtection="1">
      <alignment horizontal="center"/>
      <protection/>
    </xf>
    <xf numFmtId="0" fontId="22" fillId="21" borderId="21" xfId="0" applyFont="1" applyFill="1" applyBorder="1" applyAlignment="1" applyProtection="1">
      <alignment horizontal="left" wrapText="1" indent="1"/>
      <protection/>
    </xf>
    <xf numFmtId="0" fontId="22" fillId="21" borderId="10" xfId="0" applyFont="1" applyFill="1" applyBorder="1" applyAlignment="1" applyProtection="1">
      <alignment horizontal="left" wrapText="1" indent="1"/>
      <protection/>
    </xf>
    <xf numFmtId="0" fontId="22" fillId="21" borderId="22" xfId="0" applyFont="1" applyFill="1" applyBorder="1" applyAlignment="1" applyProtection="1">
      <alignment horizontal="left" wrapText="1" indent="1"/>
      <protection/>
    </xf>
    <xf numFmtId="0" fontId="22" fillId="21" borderId="23" xfId="0" applyFont="1" applyFill="1" applyBorder="1" applyAlignment="1" applyProtection="1">
      <alignment horizontal="left" wrapText="1" indent="1"/>
      <protection/>
    </xf>
    <xf numFmtId="0" fontId="6" fillId="21" borderId="56" xfId="0" applyFont="1" applyFill="1" applyBorder="1" applyAlignment="1" applyProtection="1">
      <alignment horizontal="center" vertical="center"/>
      <protection/>
    </xf>
    <xf numFmtId="0" fontId="6" fillId="21" borderId="57" xfId="0" applyFont="1" applyFill="1" applyBorder="1" applyAlignment="1" applyProtection="1">
      <alignment horizontal="center" vertical="center"/>
      <protection/>
    </xf>
    <xf numFmtId="0" fontId="6" fillId="21" borderId="39" xfId="0" applyFont="1" applyFill="1" applyBorder="1" applyAlignment="1" applyProtection="1">
      <alignment horizontal="center" vertical="center"/>
      <protection/>
    </xf>
    <xf numFmtId="0" fontId="6" fillId="21" borderId="40" xfId="0" applyFont="1" applyFill="1" applyBorder="1" applyAlignment="1" applyProtection="1">
      <alignment horizontal="center" vertical="center"/>
      <protection/>
    </xf>
    <xf numFmtId="0" fontId="0" fillId="21" borderId="58" xfId="0" applyFont="1" applyFill="1" applyBorder="1" applyAlignment="1" applyProtection="1">
      <alignment horizontal="left" indent="1"/>
      <protection locked="0"/>
    </xf>
    <xf numFmtId="0" fontId="0" fillId="21" borderId="59" xfId="0" applyFont="1" applyFill="1" applyBorder="1" applyAlignment="1" applyProtection="1">
      <alignment horizontal="left" indent="1"/>
      <protection locked="0"/>
    </xf>
    <xf numFmtId="0" fontId="0" fillId="21" borderId="60" xfId="0" applyFont="1" applyFill="1" applyBorder="1" applyAlignment="1" applyProtection="1">
      <alignment horizontal="left" indent="1"/>
      <protection locked="0"/>
    </xf>
    <xf numFmtId="0" fontId="16" fillId="21" borderId="18" xfId="0" applyFont="1" applyFill="1" applyBorder="1" applyAlignment="1" applyProtection="1">
      <alignment horizontal="center" vertical="center" wrapText="1"/>
      <protection/>
    </xf>
    <xf numFmtId="0" fontId="16" fillId="21" borderId="12" xfId="0" applyFont="1" applyFill="1" applyBorder="1" applyAlignment="1" applyProtection="1">
      <alignment horizontal="center" vertical="center" wrapText="1"/>
      <protection/>
    </xf>
    <xf numFmtId="0" fontId="16" fillId="21" borderId="13" xfId="0" applyFont="1" applyFill="1" applyBorder="1" applyAlignment="1" applyProtection="1">
      <alignment horizontal="center" vertical="center" wrapText="1"/>
      <protection/>
    </xf>
    <xf numFmtId="0" fontId="14" fillId="21" borderId="0" xfId="0" applyFont="1" applyFill="1" applyAlignment="1" applyProtection="1">
      <alignment horizontal="center"/>
      <protection/>
    </xf>
    <xf numFmtId="0" fontId="14" fillId="21" borderId="61" xfId="0" applyFont="1" applyFill="1" applyBorder="1" applyAlignment="1" applyProtection="1">
      <alignment horizontal="center"/>
      <protection/>
    </xf>
    <xf numFmtId="0" fontId="14" fillId="21" borderId="0" xfId="0" applyFont="1" applyFill="1" applyBorder="1" applyAlignment="1" applyProtection="1">
      <alignment horizontal="center"/>
      <protection/>
    </xf>
    <xf numFmtId="0" fontId="8" fillId="21" borderId="62" xfId="0" applyFont="1" applyFill="1" applyBorder="1" applyAlignment="1" applyProtection="1">
      <alignment horizontal="center"/>
      <protection/>
    </xf>
    <xf numFmtId="0" fontId="8" fillId="21" borderId="0" xfId="0" applyFont="1" applyFill="1" applyAlignment="1" applyProtection="1">
      <alignment horizontal="center"/>
      <protection/>
    </xf>
    <xf numFmtId="0" fontId="22" fillId="21" borderId="63" xfId="0" applyFont="1" applyFill="1" applyBorder="1" applyAlignment="1" applyProtection="1">
      <alignment horizontal="center" vertical="top"/>
      <protection/>
    </xf>
    <xf numFmtId="0" fontId="23" fillId="21" borderId="0" xfId="0" applyFont="1" applyFill="1" applyAlignment="1" applyProtection="1">
      <alignment horizontal="center"/>
      <protection/>
    </xf>
    <xf numFmtId="0" fontId="18" fillId="21" borderId="0" xfId="0" applyFont="1" applyFill="1" applyAlignment="1" applyProtection="1">
      <alignment horizontal="right"/>
      <protection/>
    </xf>
    <xf numFmtId="0" fontId="0" fillId="21" borderId="0" xfId="0" applyFill="1" applyAlignment="1" applyProtection="1">
      <alignment horizontal="center"/>
      <protection/>
    </xf>
    <xf numFmtId="0" fontId="18" fillId="21" borderId="0" xfId="0" applyFont="1" applyFill="1" applyAlignment="1" applyProtection="1">
      <alignment horizontal="right" vertical="top"/>
      <protection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 shrinkToFit="1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left" indent="3" shrinkToFit="1"/>
    </xf>
    <xf numFmtId="0" fontId="22" fillId="0" borderId="0" xfId="0" applyFont="1" applyAlignment="1">
      <alignment horizontal="left" indent="3"/>
    </xf>
    <xf numFmtId="0" fontId="6" fillId="0" borderId="0" xfId="0" applyFont="1" applyAlignment="1">
      <alignment horizontal="center"/>
    </xf>
    <xf numFmtId="0" fontId="5" fillId="2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indent="3"/>
    </xf>
    <xf numFmtId="4" fontId="25" fillId="0" borderId="0" xfId="0" applyNumberFormat="1" applyFont="1" applyFill="1" applyBorder="1" applyAlignment="1" applyProtection="1">
      <alignment horizontal="right" vertical="center" wrapText="1"/>
      <protection/>
    </xf>
    <xf numFmtId="4" fontId="16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center"/>
    </xf>
    <xf numFmtId="0" fontId="16" fillId="0" borderId="18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Fill="1" applyBorder="1" applyAlignment="1" applyProtection="1">
      <alignment horizontal="center" vertical="center" wrapText="1"/>
      <protection/>
    </xf>
    <xf numFmtId="0" fontId="16" fillId="0" borderId="13" xfId="0" applyFont="1" applyFill="1" applyBorder="1" applyAlignment="1" applyProtection="1">
      <alignment horizontal="center" vertical="center" wrapText="1"/>
      <protection/>
    </xf>
    <xf numFmtId="0" fontId="0" fillId="21" borderId="15" xfId="0" applyFill="1" applyBorder="1" applyAlignment="1" applyProtection="1">
      <alignment horizontal="left" indent="1"/>
      <protection locked="0"/>
    </xf>
    <xf numFmtId="0" fontId="0" fillId="21" borderId="58" xfId="0" applyFill="1" applyBorder="1" applyAlignment="1" applyProtection="1">
      <alignment horizontal="left" indent="1"/>
      <protection locked="0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dxfs count="7">
    <dxf>
      <font>
        <color theme="0"/>
      </font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b/>
        <i val="0"/>
        <color theme="0"/>
      </font>
      <fill>
        <patternFill>
          <bgColor theme="1"/>
        </patternFill>
      </fill>
    </dxf>
    <dxf>
      <border>
        <left/>
        <right/>
        <top/>
        <bottom/>
      </border>
    </dxf>
    <dxf>
      <font>
        <color rgb="FFFF0000"/>
      </font>
      <fill>
        <patternFill>
          <bgColor rgb="FFFFFF00"/>
        </patternFill>
      </fill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plan otplate'!A1" /><Relationship Id="rId3" Type="http://schemas.openxmlformats.org/officeDocument/2006/relationships/hyperlink" Target="#'plan otplate'!A1" /><Relationship Id="rId4" Type="http://schemas.openxmlformats.org/officeDocument/2006/relationships/image" Target="../media/image2.png" /><Relationship Id="rId5" Type="http://schemas.openxmlformats.org/officeDocument/2006/relationships/hyperlink" Target="http://www.opcina-oprisavci.hr/download/excel.php" TargetMode="External" /><Relationship Id="rId6" Type="http://schemas.openxmlformats.org/officeDocument/2006/relationships/hyperlink" Target="http://www.opcina-oprisavci.hr/download/excel.php" TargetMode="External" /><Relationship Id="rId7" Type="http://schemas.openxmlformats.org/officeDocument/2006/relationships/image" Target="../media/image3.png" /><Relationship Id="rId8" Type="http://schemas.openxmlformats.org/officeDocument/2006/relationships/hyperlink" Target="http://www.opcina-oprisavci.hr/guestBook/gBook.php?agbook=addentry" TargetMode="External" /><Relationship Id="rId9" Type="http://schemas.openxmlformats.org/officeDocument/2006/relationships/hyperlink" Target="http://www.opcina-oprisavci.hr/guestBook/gBook.php?agbook=addentry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unos!D7" /><Relationship Id="rId3" Type="http://schemas.openxmlformats.org/officeDocument/2006/relationships/hyperlink" Target="#unos!D7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161925</xdr:colOff>
      <xdr:row>20</xdr:row>
      <xdr:rowOff>161925</xdr:rowOff>
    </xdr:from>
    <xdr:to>
      <xdr:col>5</xdr:col>
      <xdr:colOff>923925</xdr:colOff>
      <xdr:row>24</xdr:row>
      <xdr:rowOff>209550</xdr:rowOff>
    </xdr:to>
    <xdr:pic>
      <xdr:nvPicPr>
        <xdr:cNvPr id="1" name="Slika 2" descr="C:\Users\Win7\AppData\Local\Microsoft\Windows\Temporary Internet Files\Content.IE5\GH07UR2G\MC900434929[1]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295275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676275</xdr:colOff>
      <xdr:row>38</xdr:row>
      <xdr:rowOff>142875</xdr:rowOff>
    </xdr:from>
    <xdr:to>
      <xdr:col>6</xdr:col>
      <xdr:colOff>38100</xdr:colOff>
      <xdr:row>41</xdr:row>
      <xdr:rowOff>66675</xdr:rowOff>
    </xdr:to>
    <xdr:pic>
      <xdr:nvPicPr>
        <xdr:cNvPr id="2" name="Slika 3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05425" y="64008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171450</xdr:colOff>
      <xdr:row>39</xdr:row>
      <xdr:rowOff>95250</xdr:rowOff>
    </xdr:from>
    <xdr:to>
      <xdr:col>5</xdr:col>
      <xdr:colOff>619125</xdr:colOff>
      <xdr:row>40</xdr:row>
      <xdr:rowOff>142875</xdr:rowOff>
    </xdr:to>
    <xdr:pic>
      <xdr:nvPicPr>
        <xdr:cNvPr id="3" name="Slika 8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00600" y="6543675"/>
          <a:ext cx="447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1076325</xdr:colOff>
      <xdr:row>0</xdr:row>
      <xdr:rowOff>0</xdr:rowOff>
    </xdr:from>
    <xdr:to>
      <xdr:col>7</xdr:col>
      <xdr:colOff>314325</xdr:colOff>
      <xdr:row>3</xdr:row>
      <xdr:rowOff>180975</xdr:rowOff>
    </xdr:to>
    <xdr:pic>
      <xdr:nvPicPr>
        <xdr:cNvPr id="1" name="Slika 2" descr="C:\Users\Win7\AppData\Local\Microsoft\Windows\Temporary Internet Files\Content.IE5\GH07UR2G\MC900434929[1]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502"/>
  <sheetViews>
    <sheetView showGridLines="0" showRowColHeaders="0" tabSelected="1" zoomScalePageLayoutView="0" workbookViewId="0" topLeftCell="C1">
      <selection activeCell="D10" sqref="D10"/>
    </sheetView>
  </sheetViews>
  <sheetFormatPr defaultColWidth="9.140625" defaultRowHeight="15"/>
  <cols>
    <col min="1" max="1" width="3.7109375" style="17" customWidth="1"/>
    <col min="2" max="6" width="16.421875" style="17" customWidth="1"/>
    <col min="7" max="7" width="5.28125" style="17" customWidth="1"/>
    <col min="8" max="8" width="6.00390625" style="17" customWidth="1"/>
    <col min="9" max="9" width="9.140625" style="18" hidden="1" customWidth="1"/>
    <col min="10" max="10" width="15.57421875" style="17" hidden="1" customWidth="1"/>
    <col min="11" max="11" width="16.57421875" style="17" hidden="1" customWidth="1"/>
    <col min="12" max="12" width="17.7109375" style="17" hidden="1" customWidth="1"/>
    <col min="13" max="13" width="14.7109375" style="17" hidden="1" customWidth="1"/>
    <col min="14" max="14" width="5.00390625" style="17" hidden="1" customWidth="1"/>
    <col min="15" max="15" width="9.140625" style="18" hidden="1" customWidth="1"/>
    <col min="16" max="16" width="14.8515625" style="17" hidden="1" customWidth="1"/>
    <col min="17" max="17" width="14.28125" style="17" hidden="1" customWidth="1"/>
    <col min="18" max="19" width="2.28125" style="17" customWidth="1"/>
    <col min="20" max="16384" width="9.140625" style="17" customWidth="1"/>
  </cols>
  <sheetData>
    <row r="1" ht="15.75" thickBot="1">
      <c r="G1" s="123" t="s">
        <v>44</v>
      </c>
    </row>
    <row r="2" spans="3:4" ht="16.5" thickBot="1" thickTop="1">
      <c r="C2" s="19" t="s">
        <v>23</v>
      </c>
      <c r="D2" s="210" t="s">
        <v>45</v>
      </c>
    </row>
    <row r="3" spans="3:4" ht="3.75" customHeight="1" thickBot="1" thickTop="1">
      <c r="C3" s="19"/>
      <c r="D3" s="20"/>
    </row>
    <row r="4" spans="3:28" ht="16.5" customHeight="1" thickBot="1" thickTop="1">
      <c r="C4" s="19" t="s">
        <v>28</v>
      </c>
      <c r="D4" s="211" t="s">
        <v>46</v>
      </c>
      <c r="E4" s="181"/>
      <c r="T4" s="135" t="s">
        <v>30</v>
      </c>
      <c r="U4" s="136"/>
      <c r="V4" s="136"/>
      <c r="W4" s="136"/>
      <c r="X4" s="136"/>
      <c r="Y4" s="136"/>
      <c r="Z4" s="137"/>
      <c r="AA4" s="138" t="s">
        <v>20</v>
      </c>
      <c r="AB4" s="139"/>
    </row>
    <row r="5" spans="3:28" ht="3.75" customHeight="1" thickBot="1" thickTop="1">
      <c r="C5" s="19"/>
      <c r="D5" s="20"/>
      <c r="E5" s="20"/>
      <c r="T5" s="125"/>
      <c r="U5" s="126"/>
      <c r="V5" s="126"/>
      <c r="W5" s="126"/>
      <c r="X5" s="126"/>
      <c r="Y5" s="126"/>
      <c r="Z5" s="144"/>
      <c r="AA5" s="149"/>
      <c r="AB5" s="150"/>
    </row>
    <row r="6" spans="3:28" ht="16.5" thickBot="1" thickTop="1">
      <c r="C6" s="19" t="s">
        <v>29</v>
      </c>
      <c r="D6" s="211" t="s">
        <v>47</v>
      </c>
      <c r="E6" s="181"/>
      <c r="F6" s="21"/>
      <c r="T6" s="159" t="s">
        <v>31</v>
      </c>
      <c r="U6" s="160"/>
      <c r="V6" s="160"/>
      <c r="W6" s="160"/>
      <c r="X6" s="160"/>
      <c r="Y6" s="160"/>
      <c r="Z6" s="160"/>
      <c r="AA6" s="155">
        <v>1</v>
      </c>
      <c r="AB6" s="156"/>
    </row>
    <row r="7" spans="3:28" ht="3.75" customHeight="1" thickBot="1" thickTop="1">
      <c r="C7" s="19"/>
      <c r="D7" s="22"/>
      <c r="E7" s="22"/>
      <c r="F7" s="21"/>
      <c r="T7" s="161" t="s">
        <v>32</v>
      </c>
      <c r="U7" s="162"/>
      <c r="V7" s="162"/>
      <c r="W7" s="162"/>
      <c r="X7" s="162"/>
      <c r="Y7" s="162"/>
      <c r="Z7" s="163"/>
      <c r="AA7" s="131"/>
      <c r="AB7" s="132"/>
    </row>
    <row r="8" spans="3:28" ht="16.5" customHeight="1" thickBot="1" thickTop="1">
      <c r="C8" s="19" t="s">
        <v>16</v>
      </c>
      <c r="D8" s="180"/>
      <c r="E8" s="182"/>
      <c r="F8" s="181"/>
      <c r="T8" s="164"/>
      <c r="U8" s="165"/>
      <c r="V8" s="165"/>
      <c r="W8" s="165"/>
      <c r="X8" s="165"/>
      <c r="Y8" s="165"/>
      <c r="Z8" s="166"/>
      <c r="AA8" s="131"/>
      <c r="AB8" s="132"/>
    </row>
    <row r="9" spans="3:28" ht="3.75" customHeight="1" thickBot="1" thickTop="1">
      <c r="C9" s="19"/>
      <c r="D9" s="20"/>
      <c r="E9" s="20"/>
      <c r="F9" s="20"/>
      <c r="T9" s="167"/>
      <c r="U9" s="168"/>
      <c r="V9" s="168"/>
      <c r="W9" s="168"/>
      <c r="X9" s="168"/>
      <c r="Y9" s="168"/>
      <c r="Z9" s="169"/>
      <c r="AA9" s="131"/>
      <c r="AB9" s="132"/>
    </row>
    <row r="10" spans="3:28" ht="16.5" customHeight="1" thickBot="1" thickTop="1">
      <c r="C10" s="19" t="s">
        <v>15</v>
      </c>
      <c r="D10" s="79"/>
      <c r="E10" s="23" t="s">
        <v>9</v>
      </c>
      <c r="F10" s="24">
        <f>D10+15</f>
        <v>15</v>
      </c>
      <c r="T10" s="151" t="s">
        <v>33</v>
      </c>
      <c r="U10" s="152"/>
      <c r="V10" s="152"/>
      <c r="W10" s="152"/>
      <c r="X10" s="152"/>
      <c r="Y10" s="152"/>
      <c r="Z10" s="152"/>
      <c r="AA10" s="131">
        <v>3</v>
      </c>
      <c r="AB10" s="132"/>
    </row>
    <row r="11" spans="3:28" ht="3.75" customHeight="1" thickBot="1" thickTop="1">
      <c r="C11" s="19"/>
      <c r="D11" s="25"/>
      <c r="E11" s="26"/>
      <c r="F11" s="27"/>
      <c r="T11" s="153"/>
      <c r="U11" s="154"/>
      <c r="V11" s="154"/>
      <c r="W11" s="154"/>
      <c r="X11" s="154"/>
      <c r="Y11" s="154"/>
      <c r="Z11" s="154"/>
      <c r="AA11" s="131"/>
      <c r="AB11" s="132"/>
    </row>
    <row r="12" spans="3:28" ht="16.5" thickBot="1" thickTop="1">
      <c r="C12" s="90" t="s">
        <v>26</v>
      </c>
      <c r="D12" s="91"/>
      <c r="E12" s="28"/>
      <c r="T12" s="153"/>
      <c r="U12" s="154"/>
      <c r="V12" s="154"/>
      <c r="W12" s="154"/>
      <c r="X12" s="154"/>
      <c r="Y12" s="154"/>
      <c r="Z12" s="154"/>
      <c r="AA12" s="131"/>
      <c r="AB12" s="132"/>
    </row>
    <row r="13" spans="3:28" ht="3.75" customHeight="1" thickBot="1" thickTop="1">
      <c r="C13" s="19"/>
      <c r="D13" s="29"/>
      <c r="E13" s="28"/>
      <c r="T13" s="153" t="s">
        <v>34</v>
      </c>
      <c r="U13" s="154"/>
      <c r="V13" s="154"/>
      <c r="W13" s="154"/>
      <c r="X13" s="154"/>
      <c r="Y13" s="154"/>
      <c r="Z13" s="154"/>
      <c r="AA13" s="131"/>
      <c r="AB13" s="132"/>
    </row>
    <row r="14" spans="3:28" ht="16.5" thickBot="1" thickTop="1">
      <c r="C14" s="19" t="s">
        <v>1</v>
      </c>
      <c r="D14" s="81"/>
      <c r="T14" s="157"/>
      <c r="U14" s="158"/>
      <c r="V14" s="158"/>
      <c r="W14" s="158"/>
      <c r="X14" s="158"/>
      <c r="Y14" s="158"/>
      <c r="Z14" s="158"/>
      <c r="AA14" s="131"/>
      <c r="AB14" s="132"/>
    </row>
    <row r="15" spans="3:28" ht="3.75" customHeight="1" thickBot="1" thickTop="1">
      <c r="C15" s="19"/>
      <c r="D15" s="30"/>
      <c r="E15" s="31"/>
      <c r="F15" s="32"/>
      <c r="T15" s="127" t="s">
        <v>35</v>
      </c>
      <c r="U15" s="128"/>
      <c r="V15" s="128"/>
      <c r="W15" s="128"/>
      <c r="X15" s="128"/>
      <c r="Y15" s="128"/>
      <c r="Z15" s="128"/>
      <c r="AA15" s="145">
        <v>5</v>
      </c>
      <c r="AB15" s="146"/>
    </row>
    <row r="16" spans="3:28" ht="16.5" thickBot="1" thickTop="1">
      <c r="C16" s="19" t="s">
        <v>5</v>
      </c>
      <c r="D16" s="81"/>
      <c r="E16" s="186">
        <f>IF(AND(D12&lt;&gt;"",D14&lt;&gt;"",D16&lt;&gt;"",L92&lt;1500,D18&gt;1),"OBROČNA OTPLATA NIJE OPCIJA!","")</f>
      </c>
      <c r="F16" s="186"/>
      <c r="G16" s="186"/>
      <c r="H16" s="33"/>
      <c r="T16" s="127"/>
      <c r="U16" s="128"/>
      <c r="V16" s="128"/>
      <c r="W16" s="128"/>
      <c r="X16" s="128"/>
      <c r="Y16" s="128"/>
      <c r="Z16" s="128"/>
      <c r="AA16" s="147"/>
      <c r="AB16" s="148"/>
    </row>
    <row r="17" spans="3:28" ht="3.75" customHeight="1" thickBot="1" thickTop="1">
      <c r="C17" s="34"/>
      <c r="D17" s="35"/>
      <c r="F17" s="36"/>
      <c r="G17" s="36"/>
      <c r="H17" s="36"/>
      <c r="T17" s="172" t="s">
        <v>36</v>
      </c>
      <c r="U17" s="173"/>
      <c r="V17" s="173"/>
      <c r="W17" s="173"/>
      <c r="X17" s="173"/>
      <c r="Y17" s="173"/>
      <c r="Z17" s="173"/>
      <c r="AA17" s="145">
        <v>7</v>
      </c>
      <c r="AB17" s="146"/>
    </row>
    <row r="18" spans="2:28" ht="16.5" thickBot="1" thickTop="1">
      <c r="B18" s="86">
        <f>D18-1</f>
        <v>-1</v>
      </c>
      <c r="C18" s="19" t="s">
        <v>6</v>
      </c>
      <c r="D18" s="80"/>
      <c r="E18" s="187">
        <f>IF(AND(D12&lt;&gt;"",D14&lt;&gt;"",D16&lt;&gt;"",J26&lt;300,D18&gt;1),"RATA JE MANJA OD 300 kn!","")</f>
      </c>
      <c r="F18" s="188"/>
      <c r="G18" s="188"/>
      <c r="T18" s="172"/>
      <c r="U18" s="173"/>
      <c r="V18" s="173"/>
      <c r="W18" s="173"/>
      <c r="X18" s="173"/>
      <c r="Y18" s="173"/>
      <c r="Z18" s="173"/>
      <c r="AA18" s="176"/>
      <c r="AB18" s="177"/>
    </row>
    <row r="19" spans="3:28" ht="7.5" customHeight="1" thickBot="1" thickTop="1">
      <c r="C19" s="38"/>
      <c r="D19" s="39"/>
      <c r="E19" s="37"/>
      <c r="T19" s="174"/>
      <c r="U19" s="175"/>
      <c r="V19" s="175"/>
      <c r="W19" s="175"/>
      <c r="X19" s="175"/>
      <c r="Y19" s="175"/>
      <c r="Z19" s="175"/>
      <c r="AA19" s="178"/>
      <c r="AB19" s="179"/>
    </row>
    <row r="20" spans="3:26" ht="18" customHeight="1" thickTop="1">
      <c r="C20" s="82" t="s">
        <v>41</v>
      </c>
      <c r="D20" s="83">
        <f>IF(OR(D12="",D14="",D16=""),0,IF(D18=1,M92,L92))</f>
        <v>0</v>
      </c>
      <c r="E20" s="189">
        <f>IF(AND(D12&lt;&gt;"",D14&lt;&gt;"",D16&lt;&gt;"",L92&lt;1500,D18&gt;1),"Iznos naknade manji je od 1.500,00 kn!","")</f>
      </c>
      <c r="F20" s="190"/>
      <c r="G20" s="190"/>
      <c r="H20" s="40"/>
      <c r="J20" s="41" t="s">
        <v>25</v>
      </c>
      <c r="K20" s="37" t="e">
        <f>SUM(J25:J84)</f>
        <v>#DIV/0!</v>
      </c>
      <c r="L20" s="37" t="e">
        <f>D20-K20</f>
        <v>#DIV/0!</v>
      </c>
      <c r="T20" s="88"/>
      <c r="U20" s="88"/>
      <c r="V20" s="88"/>
      <c r="W20" s="88"/>
      <c r="X20" s="88"/>
      <c r="Y20" s="88"/>
      <c r="Z20" s="88"/>
    </row>
    <row r="21" spans="3:26" ht="15.75" customHeight="1">
      <c r="C21" s="191">
        <f>IF(D18=1,"za jednokratno plaćanje s 25% popusta","")</f>
      </c>
      <c r="D21" s="191"/>
      <c r="F21" s="42"/>
      <c r="G21" s="42"/>
      <c r="H21" s="42"/>
      <c r="J21" s="43">
        <f>IF(L92*5%&lt;1000,1000,L92*5%)</f>
        <v>1000</v>
      </c>
      <c r="K21" s="37" t="e">
        <f>IF(ROUND(L92/D18,2)&lt;J21,J21,ROUND(L92/D18,2))</f>
        <v>#DIV/0!</v>
      </c>
      <c r="T21" s="88"/>
      <c r="U21" s="88"/>
      <c r="V21" s="88"/>
      <c r="W21" s="88"/>
      <c r="X21" s="88"/>
      <c r="Y21" s="88"/>
      <c r="Z21" s="88"/>
    </row>
    <row r="22" spans="2:26" ht="13.5" customHeight="1">
      <c r="B22" s="171">
        <f>IF(D18&gt;1,"Obročna otplata - maks. 60 rata min. 300 kn/mj","")</f>
      </c>
      <c r="C22" s="171"/>
      <c r="D22" s="171"/>
      <c r="E22" s="44"/>
      <c r="F22" s="42"/>
      <c r="G22" s="42"/>
      <c r="H22" s="42"/>
      <c r="J22" s="37"/>
      <c r="K22" s="37"/>
      <c r="L22" s="37"/>
      <c r="T22" s="88"/>
      <c r="U22" s="88"/>
      <c r="V22" s="88"/>
      <c r="W22" s="88"/>
      <c r="X22" s="88"/>
      <c r="Y22" s="88"/>
      <c r="Z22" s="88"/>
    </row>
    <row r="23" spans="2:26" s="47" customFormat="1" ht="13.5" customHeight="1">
      <c r="B23" s="170">
        <f>IF(D18&gt;1,"prva rata (min 5% ili 1.000 kn)","")</f>
      </c>
      <c r="C23" s="170"/>
      <c r="D23" s="45">
        <f>IF(D18&gt;1,J25,"")</f>
      </c>
      <c r="E23" s="46"/>
      <c r="I23" s="18"/>
      <c r="J23" s="37"/>
      <c r="K23" s="37"/>
      <c r="L23" s="37"/>
      <c r="M23" s="37"/>
      <c r="N23" s="17"/>
      <c r="O23" s="18"/>
      <c r="P23" s="17"/>
      <c r="Q23" s="17"/>
      <c r="T23" s="89"/>
      <c r="U23" s="89"/>
      <c r="V23" s="89"/>
      <c r="W23" s="89"/>
      <c r="X23" s="89"/>
      <c r="Y23" s="89"/>
      <c r="Z23" s="89"/>
    </row>
    <row r="24" spans="2:26" s="47" customFormat="1" ht="13.5" customHeight="1" thickBot="1">
      <c r="B24" s="170">
        <f>IF(D18&gt;1,"plus još "&amp;B18&amp;" rata/e po","")</f>
      </c>
      <c r="C24" s="170"/>
      <c r="D24" s="45">
        <f>IF(D18&gt;1,J26,"")</f>
      </c>
      <c r="E24" s="46"/>
      <c r="I24" s="48" t="s">
        <v>14</v>
      </c>
      <c r="J24" s="49" t="s">
        <v>13</v>
      </c>
      <c r="K24" s="48" t="s">
        <v>7</v>
      </c>
      <c r="L24" s="37"/>
      <c r="M24" s="17"/>
      <c r="N24" s="17"/>
      <c r="O24" s="18"/>
      <c r="P24" s="37"/>
      <c r="Q24" s="17"/>
      <c r="T24" s="89"/>
      <c r="U24" s="89"/>
      <c r="V24" s="89"/>
      <c r="W24" s="89"/>
      <c r="X24" s="89"/>
      <c r="Y24" s="89"/>
      <c r="Z24" s="89"/>
    </row>
    <row r="25" spans="9:28" ht="20.25" customHeight="1" thickBot="1" thickTop="1">
      <c r="I25" s="18">
        <v>1</v>
      </c>
      <c r="J25" s="37" t="e">
        <f>K21</f>
        <v>#DIV/0!</v>
      </c>
      <c r="K25" s="37" t="e">
        <f>IF(D18=1,0,L92-J25)</f>
        <v>#DIV/0!</v>
      </c>
      <c r="L25" s="37" t="e">
        <f aca="true" t="shared" si="0" ref="L25:L56">ROUND(K$25/B$18,2)</f>
        <v>#DIV/0!</v>
      </c>
      <c r="O25" s="18">
        <f aca="true" t="shared" si="1" ref="O25:O56">IF(I25&gt;$D$18,"",I25&amp;".")</f>
      </c>
      <c r="P25" s="37" t="e">
        <f>IF(I25=$D$18,D20,J25)</f>
        <v>#DIV/0!</v>
      </c>
      <c r="Q25" s="37">
        <f>IF(I25&gt;$D$18,"",K25)</f>
      </c>
      <c r="T25" s="135" t="s">
        <v>37</v>
      </c>
      <c r="U25" s="136"/>
      <c r="V25" s="136"/>
      <c r="W25" s="136"/>
      <c r="X25" s="136"/>
      <c r="Y25" s="136"/>
      <c r="Z25" s="137"/>
      <c r="AA25" s="138" t="s">
        <v>19</v>
      </c>
      <c r="AB25" s="139"/>
    </row>
    <row r="26" spans="2:28" ht="15" customHeight="1" thickTop="1">
      <c r="B26" s="183" t="s">
        <v>18</v>
      </c>
      <c r="C26" s="183" t="s">
        <v>17</v>
      </c>
      <c r="D26" s="183" t="s">
        <v>19</v>
      </c>
      <c r="E26" s="183" t="s">
        <v>20</v>
      </c>
      <c r="F26" s="183" t="s">
        <v>21</v>
      </c>
      <c r="I26" s="18">
        <v>2</v>
      </c>
      <c r="J26" s="37">
        <f aca="true" t="shared" si="2" ref="J26:J57">IF(D$18&lt;I26,0,IF(I26=$D$18,K25,L26))</f>
        <v>0</v>
      </c>
      <c r="K26" s="37" t="e">
        <f>IF(L25=0,0,K25-J26)</f>
        <v>#DIV/0!</v>
      </c>
      <c r="L26" s="37" t="e">
        <f t="shared" si="0"/>
        <v>#DIV/0!</v>
      </c>
      <c r="N26" s="50"/>
      <c r="O26" s="18">
        <f t="shared" si="1"/>
      </c>
      <c r="P26" s="37">
        <f aca="true" t="shared" si="3" ref="P26:P57">IF(I26&gt;$D$18,"",J26)</f>
      </c>
      <c r="Q26" s="37">
        <f>IF(P26="","",Q25-P26)</f>
      </c>
      <c r="T26" s="140" t="s">
        <v>38</v>
      </c>
      <c r="U26" s="141"/>
      <c r="V26" s="141"/>
      <c r="W26" s="141"/>
      <c r="X26" s="141"/>
      <c r="Y26" s="141"/>
      <c r="Z26" s="141"/>
      <c r="AA26" s="142">
        <v>0.3</v>
      </c>
      <c r="AB26" s="143"/>
    </row>
    <row r="27" spans="2:28" ht="15">
      <c r="B27" s="184"/>
      <c r="C27" s="184"/>
      <c r="D27" s="184"/>
      <c r="E27" s="184"/>
      <c r="F27" s="184"/>
      <c r="I27" s="18">
        <v>3</v>
      </c>
      <c r="J27" s="37">
        <f t="shared" si="2"/>
        <v>0</v>
      </c>
      <c r="K27" s="37" t="e">
        <f aca="true" t="shared" si="4" ref="K27:K84">IF(L26=0,0,K26-J27)</f>
        <v>#DIV/0!</v>
      </c>
      <c r="L27" s="37" t="e">
        <f t="shared" si="0"/>
        <v>#DIV/0!</v>
      </c>
      <c r="N27" s="50"/>
      <c r="O27" s="18">
        <f t="shared" si="1"/>
      </c>
      <c r="P27" s="37">
        <f t="shared" si="3"/>
      </c>
      <c r="Q27" s="37">
        <f>IF(P27="","",Q26-P27)</f>
      </c>
      <c r="T27" s="127"/>
      <c r="U27" s="128"/>
      <c r="V27" s="128"/>
      <c r="W27" s="128"/>
      <c r="X27" s="128"/>
      <c r="Y27" s="128"/>
      <c r="Z27" s="128"/>
      <c r="AA27" s="131"/>
      <c r="AB27" s="132"/>
    </row>
    <row r="28" spans="2:28" ht="15">
      <c r="B28" s="185"/>
      <c r="C28" s="185"/>
      <c r="D28" s="185"/>
      <c r="E28" s="185"/>
      <c r="F28" s="185"/>
      <c r="I28" s="18">
        <v>4</v>
      </c>
      <c r="J28" s="37">
        <f t="shared" si="2"/>
        <v>0</v>
      </c>
      <c r="K28" s="37" t="e">
        <f t="shared" si="4"/>
        <v>#DIV/0!</v>
      </c>
      <c r="L28" s="37" t="e">
        <f t="shared" si="0"/>
        <v>#DIV/0!</v>
      </c>
      <c r="N28" s="50"/>
      <c r="O28" s="18">
        <f t="shared" si="1"/>
      </c>
      <c r="P28" s="37">
        <f t="shared" si="3"/>
      </c>
      <c r="Q28" s="37">
        <f>IF(P28="","",Q27-P28)</f>
      </c>
      <c r="T28" s="127" t="s">
        <v>39</v>
      </c>
      <c r="U28" s="128"/>
      <c r="V28" s="128"/>
      <c r="W28" s="128"/>
      <c r="X28" s="128"/>
      <c r="Y28" s="128"/>
      <c r="Z28" s="128"/>
      <c r="AA28" s="131">
        <v>0.5</v>
      </c>
      <c r="AB28" s="132"/>
    </row>
    <row r="29" spans="2:28" ht="15">
      <c r="B29" s="51">
        <f>L96</f>
        <v>0</v>
      </c>
      <c r="C29" s="52">
        <v>4</v>
      </c>
      <c r="D29" s="53">
        <f>D16</f>
        <v>0</v>
      </c>
      <c r="E29" s="53">
        <f>D14</f>
        <v>0</v>
      </c>
      <c r="F29" s="54">
        <f>B29*C29*D29*E29</f>
        <v>0</v>
      </c>
      <c r="I29" s="18">
        <v>5</v>
      </c>
      <c r="J29" s="37">
        <f t="shared" si="2"/>
        <v>0</v>
      </c>
      <c r="K29" s="37" t="e">
        <f t="shared" si="4"/>
        <v>#DIV/0!</v>
      </c>
      <c r="L29" s="37" t="e">
        <f t="shared" si="0"/>
        <v>#DIV/0!</v>
      </c>
      <c r="N29" s="50"/>
      <c r="O29" s="18">
        <f t="shared" si="1"/>
      </c>
      <c r="P29" s="37">
        <f t="shared" si="3"/>
      </c>
      <c r="Q29" s="37">
        <f>IF(P29="","",Q28-P29)</f>
      </c>
      <c r="T29" s="127"/>
      <c r="U29" s="128"/>
      <c r="V29" s="128"/>
      <c r="W29" s="128"/>
      <c r="X29" s="128"/>
      <c r="Y29" s="128"/>
      <c r="Z29" s="128"/>
      <c r="AA29" s="131"/>
      <c r="AB29" s="132"/>
    </row>
    <row r="30" spans="2:28" ht="15">
      <c r="B30" s="55">
        <f>L97</f>
        <v>0</v>
      </c>
      <c r="C30" s="56">
        <v>10</v>
      </c>
      <c r="D30" s="57">
        <f>D16</f>
        <v>0</v>
      </c>
      <c r="E30" s="57">
        <f>D14</f>
        <v>0</v>
      </c>
      <c r="F30" s="58">
        <f>B30*C30*D30*E30</f>
        <v>0</v>
      </c>
      <c r="I30" s="18">
        <v>6</v>
      </c>
      <c r="J30" s="37">
        <f t="shared" si="2"/>
        <v>0</v>
      </c>
      <c r="K30" s="37" t="e">
        <f t="shared" si="4"/>
        <v>#DIV/0!</v>
      </c>
      <c r="L30" s="37" t="e">
        <f t="shared" si="0"/>
        <v>#DIV/0!</v>
      </c>
      <c r="N30" s="50"/>
      <c r="O30" s="18">
        <f t="shared" si="1"/>
      </c>
      <c r="P30" s="37">
        <f t="shared" si="3"/>
      </c>
      <c r="Q30" s="37">
        <f aca="true" t="shared" si="5" ref="Q30:Q84">IF(P30="","",Q29-P30)</f>
      </c>
      <c r="T30" s="127" t="s">
        <v>40</v>
      </c>
      <c r="U30" s="128"/>
      <c r="V30" s="128"/>
      <c r="W30" s="128"/>
      <c r="X30" s="128"/>
      <c r="Y30" s="128"/>
      <c r="Z30" s="128"/>
      <c r="AA30" s="131">
        <v>1</v>
      </c>
      <c r="AB30" s="132"/>
    </row>
    <row r="31" spans="2:28" ht="15.75" thickBot="1">
      <c r="B31" s="55">
        <f>L98</f>
        <v>0</v>
      </c>
      <c r="C31" s="56">
        <v>30</v>
      </c>
      <c r="D31" s="57">
        <f>D16</f>
        <v>0</v>
      </c>
      <c r="E31" s="57">
        <f>D14</f>
        <v>0</v>
      </c>
      <c r="F31" s="58">
        <f>B31*C31*D31*E31</f>
        <v>0</v>
      </c>
      <c r="I31" s="18">
        <v>7</v>
      </c>
      <c r="J31" s="37">
        <f t="shared" si="2"/>
        <v>0</v>
      </c>
      <c r="K31" s="37" t="e">
        <f t="shared" si="4"/>
        <v>#DIV/0!</v>
      </c>
      <c r="L31" s="37" t="e">
        <f t="shared" si="0"/>
        <v>#DIV/0!</v>
      </c>
      <c r="N31" s="50"/>
      <c r="O31" s="18">
        <f t="shared" si="1"/>
      </c>
      <c r="P31" s="37">
        <f t="shared" si="3"/>
      </c>
      <c r="Q31" s="37">
        <f t="shared" si="5"/>
      </c>
      <c r="T31" s="129"/>
      <c r="U31" s="130"/>
      <c r="V31" s="130"/>
      <c r="W31" s="130"/>
      <c r="X31" s="130"/>
      <c r="Y31" s="130"/>
      <c r="Z31" s="130"/>
      <c r="AA31" s="133"/>
      <c r="AB31" s="134"/>
    </row>
    <row r="32" spans="2:17" ht="15.75" thickTop="1">
      <c r="B32" s="59">
        <f>L99</f>
        <v>0</v>
      </c>
      <c r="C32" s="60">
        <v>75</v>
      </c>
      <c r="D32" s="61">
        <f>D16</f>
        <v>0</v>
      </c>
      <c r="E32" s="61">
        <f>D14</f>
        <v>0</v>
      </c>
      <c r="F32" s="62">
        <f>B32*C32*D32*E32</f>
        <v>0</v>
      </c>
      <c r="I32" s="18">
        <v>8</v>
      </c>
      <c r="J32" s="37">
        <f t="shared" si="2"/>
        <v>0</v>
      </c>
      <c r="K32" s="37" t="e">
        <f t="shared" si="4"/>
        <v>#DIV/0!</v>
      </c>
      <c r="L32" s="37" t="e">
        <f t="shared" si="0"/>
        <v>#DIV/0!</v>
      </c>
      <c r="N32" s="50"/>
      <c r="O32" s="18">
        <f t="shared" si="1"/>
      </c>
      <c r="P32" s="37">
        <f t="shared" si="3"/>
      </c>
      <c r="Q32" s="37">
        <f t="shared" si="5"/>
      </c>
    </row>
    <row r="33" spans="2:17" ht="15">
      <c r="B33" s="87">
        <f>SUM(B29:B32)</f>
        <v>0</v>
      </c>
      <c r="C33" s="63"/>
      <c r="D33" s="64"/>
      <c r="E33" s="84" t="s">
        <v>22</v>
      </c>
      <c r="F33" s="85">
        <f>IF(SUM(F29:F32)&lt;500,500,SUM(F29:F32))</f>
        <v>500</v>
      </c>
      <c r="I33" s="18">
        <v>9</v>
      </c>
      <c r="J33" s="37">
        <f t="shared" si="2"/>
        <v>0</v>
      </c>
      <c r="K33" s="37" t="e">
        <f t="shared" si="4"/>
        <v>#DIV/0!</v>
      </c>
      <c r="L33" s="37" t="e">
        <f t="shared" si="0"/>
        <v>#DIV/0!</v>
      </c>
      <c r="N33" s="50"/>
      <c r="O33" s="18">
        <f t="shared" si="1"/>
      </c>
      <c r="P33" s="37">
        <f t="shared" si="3"/>
      </c>
      <c r="Q33" s="37">
        <f t="shared" si="5"/>
      </c>
    </row>
    <row r="34" spans="5:17" ht="15">
      <c r="E34" s="65">
        <f>IF(D18=1,"Popust 25% za jednokratno plaćanje","")</f>
      </c>
      <c r="F34" s="66">
        <f>IF(D18=1,N90,"")</f>
      </c>
      <c r="I34" s="18">
        <v>10</v>
      </c>
      <c r="J34" s="37">
        <f t="shared" si="2"/>
        <v>0</v>
      </c>
      <c r="K34" s="37" t="e">
        <f t="shared" si="4"/>
        <v>#DIV/0!</v>
      </c>
      <c r="L34" s="37" t="e">
        <f t="shared" si="0"/>
        <v>#DIV/0!</v>
      </c>
      <c r="N34" s="50"/>
      <c r="O34" s="18">
        <f t="shared" si="1"/>
      </c>
      <c r="P34" s="37">
        <f t="shared" si="3"/>
      </c>
      <c r="Q34" s="37">
        <f t="shared" si="5"/>
      </c>
    </row>
    <row r="35" spans="5:17" ht="15">
      <c r="E35" s="67">
        <f>IF(D18=1,"Naknada uz popust 25%","")</f>
      </c>
      <c r="F35" s="68">
        <f>IF(D18=1,D20,"")</f>
      </c>
      <c r="I35" s="18">
        <v>11</v>
      </c>
      <c r="J35" s="37">
        <f t="shared" si="2"/>
        <v>0</v>
      </c>
      <c r="K35" s="37" t="e">
        <f t="shared" si="4"/>
        <v>#DIV/0!</v>
      </c>
      <c r="L35" s="37" t="e">
        <f t="shared" si="0"/>
        <v>#DIV/0!</v>
      </c>
      <c r="N35" s="50"/>
      <c r="O35" s="18">
        <f t="shared" si="1"/>
      </c>
      <c r="P35" s="37">
        <f t="shared" si="3"/>
      </c>
      <c r="Q35" s="37">
        <f t="shared" si="5"/>
      </c>
    </row>
    <row r="36" spans="4:17" ht="15">
      <c r="D36" s="194"/>
      <c r="E36" s="194"/>
      <c r="F36" s="194"/>
      <c r="I36" s="18">
        <v>12</v>
      </c>
      <c r="J36" s="37">
        <f t="shared" si="2"/>
        <v>0</v>
      </c>
      <c r="K36" s="37" t="e">
        <f t="shared" si="4"/>
        <v>#DIV/0!</v>
      </c>
      <c r="L36" s="37" t="e">
        <f t="shared" si="0"/>
        <v>#DIV/0!</v>
      </c>
      <c r="N36" s="50"/>
      <c r="O36" s="18">
        <f t="shared" si="1"/>
      </c>
      <c r="P36" s="37">
        <f t="shared" si="3"/>
      </c>
      <c r="Q36" s="37">
        <f t="shared" si="5"/>
      </c>
    </row>
    <row r="37" spans="9:17" ht="15">
      <c r="I37" s="18">
        <v>13</v>
      </c>
      <c r="J37" s="37">
        <f t="shared" si="2"/>
        <v>0</v>
      </c>
      <c r="K37" s="37" t="e">
        <f t="shared" si="4"/>
        <v>#DIV/0!</v>
      </c>
      <c r="L37" s="37" t="e">
        <f t="shared" si="0"/>
        <v>#DIV/0!</v>
      </c>
      <c r="N37" s="50"/>
      <c r="O37" s="18">
        <f t="shared" si="1"/>
      </c>
      <c r="P37" s="37">
        <f t="shared" si="3"/>
      </c>
      <c r="Q37" s="37">
        <f t="shared" si="5"/>
      </c>
    </row>
    <row r="38" spans="5:17" ht="15">
      <c r="E38" s="193" t="s">
        <v>27</v>
      </c>
      <c r="F38" s="193"/>
      <c r="I38" s="18">
        <v>14</v>
      </c>
      <c r="J38" s="37">
        <f t="shared" si="2"/>
        <v>0</v>
      </c>
      <c r="K38" s="37" t="e">
        <f t="shared" si="4"/>
        <v>#DIV/0!</v>
      </c>
      <c r="L38" s="37" t="e">
        <f t="shared" si="0"/>
        <v>#DIV/0!</v>
      </c>
      <c r="N38" s="50"/>
      <c r="O38" s="18">
        <f t="shared" si="1"/>
      </c>
      <c r="P38" s="37">
        <f t="shared" si="3"/>
      </c>
      <c r="Q38" s="37">
        <f t="shared" si="5"/>
      </c>
    </row>
    <row r="39" spans="4:17" ht="15">
      <c r="D39" s="195" t="s">
        <v>43</v>
      </c>
      <c r="E39" s="195"/>
      <c r="F39" s="195"/>
      <c r="I39" s="18">
        <v>15</v>
      </c>
      <c r="J39" s="37">
        <f t="shared" si="2"/>
        <v>0</v>
      </c>
      <c r="K39" s="37" t="e">
        <f t="shared" si="4"/>
        <v>#DIV/0!</v>
      </c>
      <c r="L39" s="37" t="e">
        <f t="shared" si="0"/>
        <v>#DIV/0!</v>
      </c>
      <c r="N39" s="50"/>
      <c r="O39" s="18">
        <f t="shared" si="1"/>
      </c>
      <c r="P39" s="37">
        <f t="shared" si="3"/>
      </c>
      <c r="Q39" s="37">
        <f t="shared" si="5"/>
      </c>
    </row>
    <row r="40" spans="9:17" s="118" customFormat="1" ht="12" customHeight="1">
      <c r="I40" s="116">
        <v>16</v>
      </c>
      <c r="J40" s="119">
        <f t="shared" si="2"/>
        <v>0</v>
      </c>
      <c r="K40" s="119" t="e">
        <f t="shared" si="4"/>
        <v>#DIV/0!</v>
      </c>
      <c r="L40" s="119" t="e">
        <f t="shared" si="0"/>
        <v>#DIV/0!</v>
      </c>
      <c r="N40" s="120"/>
      <c r="O40" s="116">
        <f t="shared" si="1"/>
      </c>
      <c r="P40" s="119">
        <f t="shared" si="3"/>
      </c>
      <c r="Q40" s="119">
        <f t="shared" si="5"/>
      </c>
    </row>
    <row r="41" spans="6:17" ht="15">
      <c r="F41" s="69"/>
      <c r="I41" s="18">
        <v>17</v>
      </c>
      <c r="J41" s="37">
        <f t="shared" si="2"/>
        <v>0</v>
      </c>
      <c r="K41" s="37" t="e">
        <f t="shared" si="4"/>
        <v>#DIV/0!</v>
      </c>
      <c r="L41" s="37" t="e">
        <f t="shared" si="0"/>
        <v>#DIV/0!</v>
      </c>
      <c r="N41" s="50"/>
      <c r="O41" s="18">
        <f t="shared" si="1"/>
      </c>
      <c r="P41" s="37">
        <f t="shared" si="3"/>
      </c>
      <c r="Q41" s="37">
        <f t="shared" si="5"/>
      </c>
    </row>
    <row r="42" spans="1:17" ht="15">
      <c r="A42" s="192"/>
      <c r="B42" s="192"/>
      <c r="C42" s="192"/>
      <c r="D42" s="192"/>
      <c r="E42" s="192"/>
      <c r="F42" s="192"/>
      <c r="G42" s="192"/>
      <c r="I42" s="18">
        <v>18</v>
      </c>
      <c r="J42" s="37">
        <f t="shared" si="2"/>
        <v>0</v>
      </c>
      <c r="K42" s="37" t="e">
        <f t="shared" si="4"/>
        <v>#DIV/0!</v>
      </c>
      <c r="L42" s="37" t="e">
        <f t="shared" si="0"/>
        <v>#DIV/0!</v>
      </c>
      <c r="N42" s="50"/>
      <c r="O42" s="18">
        <f t="shared" si="1"/>
      </c>
      <c r="P42" s="37">
        <f t="shared" si="3"/>
      </c>
      <c r="Q42" s="37">
        <f t="shared" si="5"/>
      </c>
    </row>
    <row r="43" spans="9:17" ht="15">
      <c r="I43" s="18">
        <v>19</v>
      </c>
      <c r="J43" s="37">
        <f t="shared" si="2"/>
        <v>0</v>
      </c>
      <c r="K43" s="37" t="e">
        <f t="shared" si="4"/>
        <v>#DIV/0!</v>
      </c>
      <c r="L43" s="37" t="e">
        <f t="shared" si="0"/>
        <v>#DIV/0!</v>
      </c>
      <c r="N43" s="50"/>
      <c r="O43" s="18">
        <f t="shared" si="1"/>
      </c>
      <c r="P43" s="37">
        <f t="shared" si="3"/>
      </c>
      <c r="Q43" s="37">
        <f t="shared" si="5"/>
      </c>
    </row>
    <row r="44" spans="9:17" ht="15">
      <c r="I44" s="18">
        <v>20</v>
      </c>
      <c r="J44" s="37">
        <f t="shared" si="2"/>
        <v>0</v>
      </c>
      <c r="K44" s="37" t="e">
        <f t="shared" si="4"/>
        <v>#DIV/0!</v>
      </c>
      <c r="L44" s="37" t="e">
        <f t="shared" si="0"/>
        <v>#DIV/0!</v>
      </c>
      <c r="N44" s="50"/>
      <c r="O44" s="18">
        <f t="shared" si="1"/>
      </c>
      <c r="P44" s="37">
        <f t="shared" si="3"/>
      </c>
      <c r="Q44" s="37">
        <f t="shared" si="5"/>
      </c>
    </row>
    <row r="45" spans="9:17" ht="15">
      <c r="I45" s="18">
        <v>21</v>
      </c>
      <c r="J45" s="37">
        <f t="shared" si="2"/>
        <v>0</v>
      </c>
      <c r="K45" s="37" t="e">
        <f t="shared" si="4"/>
        <v>#DIV/0!</v>
      </c>
      <c r="L45" s="37" t="e">
        <f t="shared" si="0"/>
        <v>#DIV/0!</v>
      </c>
      <c r="N45" s="50"/>
      <c r="O45" s="18">
        <f t="shared" si="1"/>
      </c>
      <c r="P45" s="37">
        <f t="shared" si="3"/>
      </c>
      <c r="Q45" s="37">
        <f t="shared" si="5"/>
      </c>
    </row>
    <row r="46" spans="9:17" ht="15">
      <c r="I46" s="18">
        <v>22</v>
      </c>
      <c r="J46" s="37">
        <f t="shared" si="2"/>
        <v>0</v>
      </c>
      <c r="K46" s="37" t="e">
        <f t="shared" si="4"/>
        <v>#DIV/0!</v>
      </c>
      <c r="L46" s="37" t="e">
        <f t="shared" si="0"/>
        <v>#DIV/0!</v>
      </c>
      <c r="N46" s="50"/>
      <c r="O46" s="18">
        <f t="shared" si="1"/>
      </c>
      <c r="P46" s="37">
        <f t="shared" si="3"/>
      </c>
      <c r="Q46" s="37">
        <f t="shared" si="5"/>
      </c>
    </row>
    <row r="47" spans="9:17" ht="15">
      <c r="I47" s="18">
        <v>23</v>
      </c>
      <c r="J47" s="37">
        <f t="shared" si="2"/>
        <v>0</v>
      </c>
      <c r="K47" s="37" t="e">
        <f t="shared" si="4"/>
        <v>#DIV/0!</v>
      </c>
      <c r="L47" s="37" t="e">
        <f t="shared" si="0"/>
        <v>#DIV/0!</v>
      </c>
      <c r="N47" s="50"/>
      <c r="O47" s="18">
        <f t="shared" si="1"/>
      </c>
      <c r="P47" s="37">
        <f t="shared" si="3"/>
      </c>
      <c r="Q47" s="37">
        <f t="shared" si="5"/>
      </c>
    </row>
    <row r="48" spans="9:17" ht="15">
      <c r="I48" s="18">
        <v>24</v>
      </c>
      <c r="J48" s="37">
        <f t="shared" si="2"/>
        <v>0</v>
      </c>
      <c r="K48" s="37" t="e">
        <f t="shared" si="4"/>
        <v>#DIV/0!</v>
      </c>
      <c r="L48" s="37" t="e">
        <f t="shared" si="0"/>
        <v>#DIV/0!</v>
      </c>
      <c r="N48" s="50"/>
      <c r="O48" s="18">
        <f t="shared" si="1"/>
      </c>
      <c r="P48" s="37">
        <f t="shared" si="3"/>
      </c>
      <c r="Q48" s="37">
        <f t="shared" si="5"/>
      </c>
    </row>
    <row r="49" spans="9:17" ht="15">
      <c r="I49" s="18">
        <v>25</v>
      </c>
      <c r="J49" s="37">
        <f t="shared" si="2"/>
        <v>0</v>
      </c>
      <c r="K49" s="37" t="e">
        <f t="shared" si="4"/>
        <v>#DIV/0!</v>
      </c>
      <c r="L49" s="37" t="e">
        <f t="shared" si="0"/>
        <v>#DIV/0!</v>
      </c>
      <c r="N49" s="50"/>
      <c r="O49" s="18">
        <f t="shared" si="1"/>
      </c>
      <c r="P49" s="37">
        <f t="shared" si="3"/>
      </c>
      <c r="Q49" s="37">
        <f t="shared" si="5"/>
      </c>
    </row>
    <row r="50" spans="9:17" ht="15">
      <c r="I50" s="18">
        <v>26</v>
      </c>
      <c r="J50" s="37">
        <f t="shared" si="2"/>
        <v>0</v>
      </c>
      <c r="K50" s="37" t="e">
        <f t="shared" si="4"/>
        <v>#DIV/0!</v>
      </c>
      <c r="L50" s="37" t="e">
        <f t="shared" si="0"/>
        <v>#DIV/0!</v>
      </c>
      <c r="N50" s="50"/>
      <c r="O50" s="18">
        <f t="shared" si="1"/>
      </c>
      <c r="P50" s="37">
        <f t="shared" si="3"/>
      </c>
      <c r="Q50" s="37">
        <f t="shared" si="5"/>
      </c>
    </row>
    <row r="51" spans="9:17" ht="15">
      <c r="I51" s="18">
        <v>27</v>
      </c>
      <c r="J51" s="37">
        <f t="shared" si="2"/>
        <v>0</v>
      </c>
      <c r="K51" s="37" t="e">
        <f t="shared" si="4"/>
        <v>#DIV/0!</v>
      </c>
      <c r="L51" s="37" t="e">
        <f t="shared" si="0"/>
        <v>#DIV/0!</v>
      </c>
      <c r="N51" s="50"/>
      <c r="O51" s="18">
        <f t="shared" si="1"/>
      </c>
      <c r="P51" s="37">
        <f t="shared" si="3"/>
      </c>
      <c r="Q51" s="37">
        <f t="shared" si="5"/>
      </c>
    </row>
    <row r="52" spans="9:17" ht="15">
      <c r="I52" s="18">
        <v>28</v>
      </c>
      <c r="J52" s="37">
        <f t="shared" si="2"/>
        <v>0</v>
      </c>
      <c r="K52" s="37" t="e">
        <f t="shared" si="4"/>
        <v>#DIV/0!</v>
      </c>
      <c r="L52" s="37" t="e">
        <f t="shared" si="0"/>
        <v>#DIV/0!</v>
      </c>
      <c r="N52" s="50"/>
      <c r="O52" s="18">
        <f t="shared" si="1"/>
      </c>
      <c r="P52" s="37">
        <f t="shared" si="3"/>
      </c>
      <c r="Q52" s="37">
        <f t="shared" si="5"/>
      </c>
    </row>
    <row r="53" spans="9:17" ht="15">
      <c r="I53" s="18">
        <v>29</v>
      </c>
      <c r="J53" s="37">
        <f t="shared" si="2"/>
        <v>0</v>
      </c>
      <c r="K53" s="37" t="e">
        <f t="shared" si="4"/>
        <v>#DIV/0!</v>
      </c>
      <c r="L53" s="37" t="e">
        <f t="shared" si="0"/>
        <v>#DIV/0!</v>
      </c>
      <c r="N53" s="50"/>
      <c r="O53" s="18">
        <f t="shared" si="1"/>
      </c>
      <c r="P53" s="37">
        <f t="shared" si="3"/>
      </c>
      <c r="Q53" s="37">
        <f t="shared" si="5"/>
      </c>
    </row>
    <row r="54" spans="9:17" ht="15">
      <c r="I54" s="18">
        <v>30</v>
      </c>
      <c r="J54" s="37">
        <f t="shared" si="2"/>
        <v>0</v>
      </c>
      <c r="K54" s="37" t="e">
        <f t="shared" si="4"/>
        <v>#DIV/0!</v>
      </c>
      <c r="L54" s="37" t="e">
        <f t="shared" si="0"/>
        <v>#DIV/0!</v>
      </c>
      <c r="N54" s="50"/>
      <c r="O54" s="18">
        <f t="shared" si="1"/>
      </c>
      <c r="P54" s="37">
        <f t="shared" si="3"/>
      </c>
      <c r="Q54" s="37">
        <f t="shared" si="5"/>
      </c>
    </row>
    <row r="55" spans="9:17" ht="15">
      <c r="I55" s="18">
        <v>31</v>
      </c>
      <c r="J55" s="37">
        <f t="shared" si="2"/>
        <v>0</v>
      </c>
      <c r="K55" s="37" t="e">
        <f t="shared" si="4"/>
        <v>#DIV/0!</v>
      </c>
      <c r="L55" s="37" t="e">
        <f t="shared" si="0"/>
        <v>#DIV/0!</v>
      </c>
      <c r="N55" s="50"/>
      <c r="O55" s="18">
        <f t="shared" si="1"/>
      </c>
      <c r="P55" s="37">
        <f t="shared" si="3"/>
      </c>
      <c r="Q55" s="37">
        <f t="shared" si="5"/>
      </c>
    </row>
    <row r="56" spans="9:17" ht="15">
      <c r="I56" s="18">
        <v>32</v>
      </c>
      <c r="J56" s="37">
        <f t="shared" si="2"/>
        <v>0</v>
      </c>
      <c r="K56" s="37" t="e">
        <f t="shared" si="4"/>
        <v>#DIV/0!</v>
      </c>
      <c r="L56" s="37" t="e">
        <f t="shared" si="0"/>
        <v>#DIV/0!</v>
      </c>
      <c r="N56" s="50"/>
      <c r="O56" s="18">
        <f t="shared" si="1"/>
      </c>
      <c r="P56" s="37">
        <f t="shared" si="3"/>
      </c>
      <c r="Q56" s="37">
        <f t="shared" si="5"/>
      </c>
    </row>
    <row r="57" spans="9:17" ht="15">
      <c r="I57" s="18">
        <v>33</v>
      </c>
      <c r="J57" s="37">
        <f t="shared" si="2"/>
        <v>0</v>
      </c>
      <c r="K57" s="37" t="e">
        <f t="shared" si="4"/>
        <v>#DIV/0!</v>
      </c>
      <c r="L57" s="37" t="e">
        <f aca="true" t="shared" si="6" ref="L57:L84">ROUND(K$25/B$18,2)</f>
        <v>#DIV/0!</v>
      </c>
      <c r="N57" s="50"/>
      <c r="O57" s="18">
        <f aca="true" t="shared" si="7" ref="O57:O84">IF(I57&gt;$D$18,"",I57&amp;".")</f>
      </c>
      <c r="P57" s="37">
        <f t="shared" si="3"/>
      </c>
      <c r="Q57" s="37">
        <f t="shared" si="5"/>
      </c>
    </row>
    <row r="58" spans="9:17" ht="15">
      <c r="I58" s="18">
        <v>34</v>
      </c>
      <c r="J58" s="37">
        <f aca="true" t="shared" si="8" ref="J58:J84">IF(D$18&lt;I58,0,IF(I58=$D$18,K57,L58))</f>
        <v>0</v>
      </c>
      <c r="K58" s="37" t="e">
        <f t="shared" si="4"/>
        <v>#DIV/0!</v>
      </c>
      <c r="L58" s="37" t="e">
        <f t="shared" si="6"/>
        <v>#DIV/0!</v>
      </c>
      <c r="N58" s="50"/>
      <c r="O58" s="18">
        <f t="shared" si="7"/>
      </c>
      <c r="P58" s="37">
        <f aca="true" t="shared" si="9" ref="P58:P84">IF(I58&gt;$D$18,"",J58)</f>
      </c>
      <c r="Q58" s="37">
        <f t="shared" si="5"/>
      </c>
    </row>
    <row r="59" spans="9:17" ht="15">
      <c r="I59" s="18">
        <v>35</v>
      </c>
      <c r="J59" s="37">
        <f t="shared" si="8"/>
        <v>0</v>
      </c>
      <c r="K59" s="37" t="e">
        <f t="shared" si="4"/>
        <v>#DIV/0!</v>
      </c>
      <c r="L59" s="37" t="e">
        <f t="shared" si="6"/>
        <v>#DIV/0!</v>
      </c>
      <c r="N59" s="50"/>
      <c r="O59" s="18">
        <f t="shared" si="7"/>
      </c>
      <c r="P59" s="37">
        <f t="shared" si="9"/>
      </c>
      <c r="Q59" s="37">
        <f t="shared" si="5"/>
      </c>
    </row>
    <row r="60" spans="9:17" ht="15">
      <c r="I60" s="18">
        <v>36</v>
      </c>
      <c r="J60" s="37">
        <f t="shared" si="8"/>
        <v>0</v>
      </c>
      <c r="K60" s="37" t="e">
        <f t="shared" si="4"/>
        <v>#DIV/0!</v>
      </c>
      <c r="L60" s="37" t="e">
        <f t="shared" si="6"/>
        <v>#DIV/0!</v>
      </c>
      <c r="N60" s="50"/>
      <c r="O60" s="18">
        <f t="shared" si="7"/>
      </c>
      <c r="P60" s="37">
        <f t="shared" si="9"/>
      </c>
      <c r="Q60" s="37">
        <f t="shared" si="5"/>
      </c>
    </row>
    <row r="61" spans="9:17" ht="15">
      <c r="I61" s="18">
        <v>37</v>
      </c>
      <c r="J61" s="37">
        <f t="shared" si="8"/>
        <v>0</v>
      </c>
      <c r="K61" s="37" t="e">
        <f t="shared" si="4"/>
        <v>#DIV/0!</v>
      </c>
      <c r="L61" s="37" t="e">
        <f t="shared" si="6"/>
        <v>#DIV/0!</v>
      </c>
      <c r="N61" s="50"/>
      <c r="O61" s="18">
        <f t="shared" si="7"/>
      </c>
      <c r="P61" s="37">
        <f t="shared" si="9"/>
      </c>
      <c r="Q61" s="37">
        <f t="shared" si="5"/>
      </c>
    </row>
    <row r="62" spans="9:17" ht="15">
      <c r="I62" s="18">
        <v>38</v>
      </c>
      <c r="J62" s="37">
        <f t="shared" si="8"/>
        <v>0</v>
      </c>
      <c r="K62" s="37" t="e">
        <f t="shared" si="4"/>
        <v>#DIV/0!</v>
      </c>
      <c r="L62" s="37" t="e">
        <f t="shared" si="6"/>
        <v>#DIV/0!</v>
      </c>
      <c r="N62" s="50"/>
      <c r="O62" s="18">
        <f t="shared" si="7"/>
      </c>
      <c r="P62" s="37">
        <f t="shared" si="9"/>
      </c>
      <c r="Q62" s="37">
        <f t="shared" si="5"/>
      </c>
    </row>
    <row r="63" spans="9:17" ht="15">
      <c r="I63" s="18">
        <v>39</v>
      </c>
      <c r="J63" s="37">
        <f t="shared" si="8"/>
        <v>0</v>
      </c>
      <c r="K63" s="37" t="e">
        <f t="shared" si="4"/>
        <v>#DIV/0!</v>
      </c>
      <c r="L63" s="37" t="e">
        <f t="shared" si="6"/>
        <v>#DIV/0!</v>
      </c>
      <c r="N63" s="50"/>
      <c r="O63" s="18">
        <f t="shared" si="7"/>
      </c>
      <c r="P63" s="37">
        <f t="shared" si="9"/>
      </c>
      <c r="Q63" s="37">
        <f t="shared" si="5"/>
      </c>
    </row>
    <row r="64" spans="9:17" ht="15">
      <c r="I64" s="18">
        <v>40</v>
      </c>
      <c r="J64" s="37">
        <f t="shared" si="8"/>
        <v>0</v>
      </c>
      <c r="K64" s="37" t="e">
        <f t="shared" si="4"/>
        <v>#DIV/0!</v>
      </c>
      <c r="L64" s="37" t="e">
        <f t="shared" si="6"/>
        <v>#DIV/0!</v>
      </c>
      <c r="N64" s="50"/>
      <c r="O64" s="18">
        <f t="shared" si="7"/>
      </c>
      <c r="P64" s="37">
        <f t="shared" si="9"/>
      </c>
      <c r="Q64" s="37">
        <f t="shared" si="5"/>
      </c>
    </row>
    <row r="65" spans="9:17" ht="15">
      <c r="I65" s="18">
        <v>41</v>
      </c>
      <c r="J65" s="37">
        <f t="shared" si="8"/>
        <v>0</v>
      </c>
      <c r="K65" s="37" t="e">
        <f t="shared" si="4"/>
        <v>#DIV/0!</v>
      </c>
      <c r="L65" s="37" t="e">
        <f t="shared" si="6"/>
        <v>#DIV/0!</v>
      </c>
      <c r="N65" s="50"/>
      <c r="O65" s="18">
        <f t="shared" si="7"/>
      </c>
      <c r="P65" s="37">
        <f t="shared" si="9"/>
      </c>
      <c r="Q65" s="37">
        <f t="shared" si="5"/>
      </c>
    </row>
    <row r="66" spans="9:17" ht="15">
      <c r="I66" s="18">
        <v>42</v>
      </c>
      <c r="J66" s="37">
        <f t="shared" si="8"/>
        <v>0</v>
      </c>
      <c r="K66" s="37" t="e">
        <f t="shared" si="4"/>
        <v>#DIV/0!</v>
      </c>
      <c r="L66" s="37" t="e">
        <f t="shared" si="6"/>
        <v>#DIV/0!</v>
      </c>
      <c r="N66" s="50"/>
      <c r="O66" s="18">
        <f t="shared" si="7"/>
      </c>
      <c r="P66" s="37">
        <f t="shared" si="9"/>
      </c>
      <c r="Q66" s="37">
        <f t="shared" si="5"/>
      </c>
    </row>
    <row r="67" spans="9:17" ht="15">
      <c r="I67" s="18">
        <v>43</v>
      </c>
      <c r="J67" s="37">
        <f t="shared" si="8"/>
        <v>0</v>
      </c>
      <c r="K67" s="37" t="e">
        <f t="shared" si="4"/>
        <v>#DIV/0!</v>
      </c>
      <c r="L67" s="37" t="e">
        <f t="shared" si="6"/>
        <v>#DIV/0!</v>
      </c>
      <c r="N67" s="50"/>
      <c r="O67" s="18">
        <f t="shared" si="7"/>
      </c>
      <c r="P67" s="37">
        <f t="shared" si="9"/>
      </c>
      <c r="Q67" s="37">
        <f t="shared" si="5"/>
      </c>
    </row>
    <row r="68" spans="9:17" ht="15">
      <c r="I68" s="18">
        <v>44</v>
      </c>
      <c r="J68" s="37">
        <f t="shared" si="8"/>
        <v>0</v>
      </c>
      <c r="K68" s="37" t="e">
        <f t="shared" si="4"/>
        <v>#DIV/0!</v>
      </c>
      <c r="L68" s="37" t="e">
        <f t="shared" si="6"/>
        <v>#DIV/0!</v>
      </c>
      <c r="N68" s="50"/>
      <c r="O68" s="18">
        <f t="shared" si="7"/>
      </c>
      <c r="P68" s="37">
        <f t="shared" si="9"/>
      </c>
      <c r="Q68" s="37">
        <f t="shared" si="5"/>
      </c>
    </row>
    <row r="69" spans="9:17" ht="15">
      <c r="I69" s="18">
        <v>45</v>
      </c>
      <c r="J69" s="37">
        <f t="shared" si="8"/>
        <v>0</v>
      </c>
      <c r="K69" s="37" t="e">
        <f t="shared" si="4"/>
        <v>#DIV/0!</v>
      </c>
      <c r="L69" s="37" t="e">
        <f t="shared" si="6"/>
        <v>#DIV/0!</v>
      </c>
      <c r="N69" s="50"/>
      <c r="O69" s="18">
        <f t="shared" si="7"/>
      </c>
      <c r="P69" s="37">
        <f t="shared" si="9"/>
      </c>
      <c r="Q69" s="37">
        <f t="shared" si="5"/>
      </c>
    </row>
    <row r="70" spans="9:17" ht="15">
      <c r="I70" s="18">
        <v>46</v>
      </c>
      <c r="J70" s="37">
        <f t="shared" si="8"/>
        <v>0</v>
      </c>
      <c r="K70" s="37" t="e">
        <f t="shared" si="4"/>
        <v>#DIV/0!</v>
      </c>
      <c r="L70" s="37" t="e">
        <f t="shared" si="6"/>
        <v>#DIV/0!</v>
      </c>
      <c r="N70" s="50"/>
      <c r="O70" s="18">
        <f t="shared" si="7"/>
      </c>
      <c r="P70" s="37">
        <f t="shared" si="9"/>
      </c>
      <c r="Q70" s="37">
        <f t="shared" si="5"/>
      </c>
    </row>
    <row r="71" spans="9:17" ht="15">
      <c r="I71" s="18">
        <v>47</v>
      </c>
      <c r="J71" s="37">
        <f t="shared" si="8"/>
        <v>0</v>
      </c>
      <c r="K71" s="37" t="e">
        <f t="shared" si="4"/>
        <v>#DIV/0!</v>
      </c>
      <c r="L71" s="37" t="e">
        <f t="shared" si="6"/>
        <v>#DIV/0!</v>
      </c>
      <c r="N71" s="50"/>
      <c r="O71" s="18">
        <f t="shared" si="7"/>
      </c>
      <c r="P71" s="37">
        <f t="shared" si="9"/>
      </c>
      <c r="Q71" s="37">
        <f t="shared" si="5"/>
      </c>
    </row>
    <row r="72" spans="9:17" ht="15">
      <c r="I72" s="18">
        <v>48</v>
      </c>
      <c r="J72" s="37">
        <f t="shared" si="8"/>
        <v>0</v>
      </c>
      <c r="K72" s="37" t="e">
        <f t="shared" si="4"/>
        <v>#DIV/0!</v>
      </c>
      <c r="L72" s="37" t="e">
        <f t="shared" si="6"/>
        <v>#DIV/0!</v>
      </c>
      <c r="N72" s="50"/>
      <c r="O72" s="18">
        <f t="shared" si="7"/>
      </c>
      <c r="P72" s="37">
        <f t="shared" si="9"/>
      </c>
      <c r="Q72" s="37">
        <f t="shared" si="5"/>
      </c>
    </row>
    <row r="73" spans="9:17" ht="15">
      <c r="I73" s="18">
        <v>49</v>
      </c>
      <c r="J73" s="37">
        <f t="shared" si="8"/>
        <v>0</v>
      </c>
      <c r="K73" s="37" t="e">
        <f t="shared" si="4"/>
        <v>#DIV/0!</v>
      </c>
      <c r="L73" s="37" t="e">
        <f t="shared" si="6"/>
        <v>#DIV/0!</v>
      </c>
      <c r="N73" s="50"/>
      <c r="O73" s="18">
        <f t="shared" si="7"/>
      </c>
      <c r="P73" s="37">
        <f t="shared" si="9"/>
      </c>
      <c r="Q73" s="37">
        <f t="shared" si="5"/>
      </c>
    </row>
    <row r="74" spans="9:17" ht="15">
      <c r="I74" s="18">
        <v>50</v>
      </c>
      <c r="J74" s="37">
        <f t="shared" si="8"/>
        <v>0</v>
      </c>
      <c r="K74" s="37" t="e">
        <f t="shared" si="4"/>
        <v>#DIV/0!</v>
      </c>
      <c r="L74" s="37" t="e">
        <f t="shared" si="6"/>
        <v>#DIV/0!</v>
      </c>
      <c r="N74" s="50"/>
      <c r="O74" s="18">
        <f t="shared" si="7"/>
      </c>
      <c r="P74" s="37">
        <f t="shared" si="9"/>
      </c>
      <c r="Q74" s="37">
        <f t="shared" si="5"/>
      </c>
    </row>
    <row r="75" spans="9:17" ht="15">
      <c r="I75" s="18">
        <v>51</v>
      </c>
      <c r="J75" s="37">
        <f t="shared" si="8"/>
        <v>0</v>
      </c>
      <c r="K75" s="37" t="e">
        <f t="shared" si="4"/>
        <v>#DIV/0!</v>
      </c>
      <c r="L75" s="37" t="e">
        <f t="shared" si="6"/>
        <v>#DIV/0!</v>
      </c>
      <c r="N75" s="50"/>
      <c r="O75" s="18">
        <f t="shared" si="7"/>
      </c>
      <c r="P75" s="37">
        <f t="shared" si="9"/>
      </c>
      <c r="Q75" s="37">
        <f t="shared" si="5"/>
      </c>
    </row>
    <row r="76" spans="9:17" ht="15">
      <c r="I76" s="18">
        <v>52</v>
      </c>
      <c r="J76" s="37">
        <f t="shared" si="8"/>
        <v>0</v>
      </c>
      <c r="K76" s="37" t="e">
        <f t="shared" si="4"/>
        <v>#DIV/0!</v>
      </c>
      <c r="L76" s="37" t="e">
        <f t="shared" si="6"/>
        <v>#DIV/0!</v>
      </c>
      <c r="N76" s="50"/>
      <c r="O76" s="18">
        <f t="shared" si="7"/>
      </c>
      <c r="P76" s="37">
        <f t="shared" si="9"/>
      </c>
      <c r="Q76" s="37">
        <f t="shared" si="5"/>
      </c>
    </row>
    <row r="77" spans="9:17" ht="15">
      <c r="I77" s="18">
        <v>53</v>
      </c>
      <c r="J77" s="37">
        <f t="shared" si="8"/>
        <v>0</v>
      </c>
      <c r="K77" s="37" t="e">
        <f t="shared" si="4"/>
        <v>#DIV/0!</v>
      </c>
      <c r="L77" s="37" t="e">
        <f t="shared" si="6"/>
        <v>#DIV/0!</v>
      </c>
      <c r="N77" s="50"/>
      <c r="O77" s="18">
        <f t="shared" si="7"/>
      </c>
      <c r="P77" s="37">
        <f t="shared" si="9"/>
      </c>
      <c r="Q77" s="37">
        <f t="shared" si="5"/>
      </c>
    </row>
    <row r="78" spans="9:17" ht="15">
      <c r="I78" s="18">
        <v>54</v>
      </c>
      <c r="J78" s="37">
        <f t="shared" si="8"/>
        <v>0</v>
      </c>
      <c r="K78" s="37" t="e">
        <f t="shared" si="4"/>
        <v>#DIV/0!</v>
      </c>
      <c r="L78" s="37" t="e">
        <f t="shared" si="6"/>
        <v>#DIV/0!</v>
      </c>
      <c r="N78" s="50"/>
      <c r="O78" s="18">
        <f t="shared" si="7"/>
      </c>
      <c r="P78" s="37">
        <f t="shared" si="9"/>
      </c>
      <c r="Q78" s="37">
        <f t="shared" si="5"/>
      </c>
    </row>
    <row r="79" spans="9:17" ht="15">
      <c r="I79" s="18">
        <v>55</v>
      </c>
      <c r="J79" s="37">
        <f t="shared" si="8"/>
        <v>0</v>
      </c>
      <c r="K79" s="37" t="e">
        <f t="shared" si="4"/>
        <v>#DIV/0!</v>
      </c>
      <c r="L79" s="37" t="e">
        <f t="shared" si="6"/>
        <v>#DIV/0!</v>
      </c>
      <c r="N79" s="50"/>
      <c r="O79" s="18">
        <f t="shared" si="7"/>
      </c>
      <c r="P79" s="37">
        <f t="shared" si="9"/>
      </c>
      <c r="Q79" s="37">
        <f t="shared" si="5"/>
      </c>
    </row>
    <row r="80" spans="9:17" ht="15">
      <c r="I80" s="18">
        <v>56</v>
      </c>
      <c r="J80" s="37">
        <f t="shared" si="8"/>
        <v>0</v>
      </c>
      <c r="K80" s="37" t="e">
        <f t="shared" si="4"/>
        <v>#DIV/0!</v>
      </c>
      <c r="L80" s="37" t="e">
        <f t="shared" si="6"/>
        <v>#DIV/0!</v>
      </c>
      <c r="N80" s="50"/>
      <c r="O80" s="18">
        <f t="shared" si="7"/>
      </c>
      <c r="P80" s="37">
        <f t="shared" si="9"/>
      </c>
      <c r="Q80" s="37">
        <f t="shared" si="5"/>
      </c>
    </row>
    <row r="81" spans="9:17" ht="15">
      <c r="I81" s="18">
        <v>57</v>
      </c>
      <c r="J81" s="37">
        <f t="shared" si="8"/>
        <v>0</v>
      </c>
      <c r="K81" s="37" t="e">
        <f t="shared" si="4"/>
        <v>#DIV/0!</v>
      </c>
      <c r="L81" s="37" t="e">
        <f t="shared" si="6"/>
        <v>#DIV/0!</v>
      </c>
      <c r="N81" s="50"/>
      <c r="O81" s="18">
        <f t="shared" si="7"/>
      </c>
      <c r="P81" s="37">
        <f t="shared" si="9"/>
      </c>
      <c r="Q81" s="37">
        <f t="shared" si="5"/>
      </c>
    </row>
    <row r="82" spans="9:17" ht="15">
      <c r="I82" s="18">
        <v>58</v>
      </c>
      <c r="J82" s="37">
        <f t="shared" si="8"/>
        <v>0</v>
      </c>
      <c r="K82" s="37" t="e">
        <f t="shared" si="4"/>
        <v>#DIV/0!</v>
      </c>
      <c r="L82" s="37" t="e">
        <f t="shared" si="6"/>
        <v>#DIV/0!</v>
      </c>
      <c r="N82" s="50"/>
      <c r="O82" s="18">
        <f t="shared" si="7"/>
      </c>
      <c r="P82" s="37">
        <f t="shared" si="9"/>
      </c>
      <c r="Q82" s="37">
        <f t="shared" si="5"/>
      </c>
    </row>
    <row r="83" spans="9:17" ht="15">
      <c r="I83" s="18">
        <v>59</v>
      </c>
      <c r="J83" s="37">
        <f t="shared" si="8"/>
        <v>0</v>
      </c>
      <c r="K83" s="37" t="e">
        <f t="shared" si="4"/>
        <v>#DIV/0!</v>
      </c>
      <c r="L83" s="37" t="e">
        <f t="shared" si="6"/>
        <v>#DIV/0!</v>
      </c>
      <c r="N83" s="50"/>
      <c r="O83" s="18">
        <f t="shared" si="7"/>
      </c>
      <c r="P83" s="37">
        <f t="shared" si="9"/>
      </c>
      <c r="Q83" s="37">
        <f t="shared" si="5"/>
      </c>
    </row>
    <row r="84" spans="9:17" ht="15">
      <c r="I84" s="18">
        <v>60</v>
      </c>
      <c r="J84" s="37">
        <f t="shared" si="8"/>
        <v>0</v>
      </c>
      <c r="K84" s="37" t="e">
        <f t="shared" si="4"/>
        <v>#DIV/0!</v>
      </c>
      <c r="L84" s="37" t="e">
        <f t="shared" si="6"/>
        <v>#DIV/0!</v>
      </c>
      <c r="N84" s="50"/>
      <c r="O84" s="18">
        <f t="shared" si="7"/>
      </c>
      <c r="P84" s="37">
        <f t="shared" si="9"/>
      </c>
      <c r="Q84" s="37">
        <f t="shared" si="5"/>
      </c>
    </row>
    <row r="89" spans="11:14" ht="15">
      <c r="K89" s="70" t="s">
        <v>2</v>
      </c>
      <c r="L89" s="39">
        <f>ROUNDUP(L90*D16,2)</f>
        <v>0</v>
      </c>
      <c r="N89" s="71" t="str">
        <f>IF(D18&gt;1,"","-25%")</f>
        <v>-25%</v>
      </c>
    </row>
    <row r="90" spans="11:14" ht="15">
      <c r="K90" s="70" t="s">
        <v>4</v>
      </c>
      <c r="L90" s="72">
        <f>M95</f>
        <v>0</v>
      </c>
      <c r="N90" s="73">
        <f>IF(D18&gt;1,"",L92*25%)</f>
        <v>125</v>
      </c>
    </row>
    <row r="92" spans="12:13" ht="15">
      <c r="L92" s="74">
        <f>IF(L89*D14&lt;500,500,ROUND(L89*D14,2))</f>
        <v>500</v>
      </c>
      <c r="M92" s="75">
        <f>IF(D18&lt;&gt;1,"",IF(L92-L92*25%&lt;500,500,L92-L92*25%))</f>
      </c>
    </row>
    <row r="95" spans="12:13" ht="15">
      <c r="L95" s="76">
        <f>D12</f>
        <v>0</v>
      </c>
      <c r="M95" s="77">
        <f>SUM(M96:M99)</f>
        <v>0</v>
      </c>
    </row>
    <row r="96" spans="12:13" ht="15">
      <c r="L96" s="78">
        <f>IF(L95&gt;300,300,L95)</f>
        <v>0</v>
      </c>
      <c r="M96" s="37">
        <f>L96*4</f>
        <v>0</v>
      </c>
    </row>
    <row r="97" spans="12:13" ht="15">
      <c r="L97" s="78">
        <f>IF(L95&lt;300,0,IF(AND(L95&gt;=300,L95&lt;=3000),L95-L96,3000-L96))</f>
        <v>0</v>
      </c>
      <c r="M97" s="37">
        <f>L97*10</f>
        <v>0</v>
      </c>
    </row>
    <row r="98" spans="12:13" ht="15">
      <c r="L98" s="78">
        <f>IF(L95&lt;3000,0,IF(AND(L95&gt;=3000,L95&lt;=7000),L95-L96-L97,7000-L96-L97))</f>
        <v>0</v>
      </c>
      <c r="M98" s="37">
        <f>L98*30</f>
        <v>0</v>
      </c>
    </row>
    <row r="99" spans="12:13" ht="15">
      <c r="L99" s="78">
        <f>IF(L95&gt;7000,L95-L96-L97-L98,0)</f>
        <v>0</v>
      </c>
      <c r="M99" s="37">
        <f>L99*75</f>
        <v>0</v>
      </c>
    </row>
    <row r="135" ht="15">
      <c r="K135" s="37"/>
    </row>
    <row r="136" ht="15">
      <c r="K136" s="37"/>
    </row>
    <row r="137" ht="15">
      <c r="K137" s="37"/>
    </row>
    <row r="138" ht="15">
      <c r="K138" s="37"/>
    </row>
    <row r="139" ht="15">
      <c r="K139" s="37"/>
    </row>
    <row r="140" ht="15">
      <c r="K140" s="37"/>
    </row>
    <row r="141" ht="15">
      <c r="K141" s="37"/>
    </row>
    <row r="142" ht="15">
      <c r="K142" s="37"/>
    </row>
    <row r="143" ht="15">
      <c r="K143" s="37"/>
    </row>
    <row r="144" ht="15">
      <c r="K144" s="37"/>
    </row>
    <row r="145" ht="15">
      <c r="K145" s="37"/>
    </row>
    <row r="146" ht="15">
      <c r="K146" s="37"/>
    </row>
    <row r="147" ht="15">
      <c r="K147" s="37"/>
    </row>
    <row r="148" ht="15">
      <c r="K148" s="37"/>
    </row>
    <row r="149" ht="15">
      <c r="K149" s="37"/>
    </row>
    <row r="150" ht="15">
      <c r="K150" s="37"/>
    </row>
    <row r="151" ht="15">
      <c r="K151" s="37"/>
    </row>
    <row r="152" ht="15">
      <c r="K152" s="37"/>
    </row>
    <row r="153" ht="15">
      <c r="K153" s="37"/>
    </row>
    <row r="154" ht="15">
      <c r="K154" s="37"/>
    </row>
    <row r="155" ht="15">
      <c r="K155" s="37"/>
    </row>
    <row r="156" ht="15">
      <c r="K156" s="37"/>
    </row>
    <row r="157" ht="15">
      <c r="K157" s="37"/>
    </row>
    <row r="158" ht="15">
      <c r="K158" s="37"/>
    </row>
    <row r="159" ht="15">
      <c r="K159" s="37"/>
    </row>
    <row r="160" ht="15">
      <c r="K160" s="37"/>
    </row>
    <row r="161" ht="15">
      <c r="K161" s="37"/>
    </row>
    <row r="162" ht="15">
      <c r="K162" s="37"/>
    </row>
    <row r="163" ht="15">
      <c r="K163" s="37"/>
    </row>
    <row r="164" ht="15">
      <c r="K164" s="37"/>
    </row>
    <row r="165" ht="15">
      <c r="K165" s="37"/>
    </row>
    <row r="166" ht="15">
      <c r="K166" s="37"/>
    </row>
    <row r="167" ht="15">
      <c r="K167" s="37"/>
    </row>
    <row r="168" ht="15">
      <c r="K168" s="37"/>
    </row>
    <row r="169" ht="15">
      <c r="K169" s="37"/>
    </row>
    <row r="170" ht="15">
      <c r="K170" s="37"/>
    </row>
    <row r="171" ht="15">
      <c r="K171" s="37"/>
    </row>
    <row r="172" ht="15">
      <c r="K172" s="37"/>
    </row>
    <row r="173" ht="15">
      <c r="K173" s="37"/>
    </row>
    <row r="174" ht="15">
      <c r="K174" s="37"/>
    </row>
    <row r="175" ht="15">
      <c r="K175" s="37"/>
    </row>
    <row r="176" ht="15">
      <c r="K176" s="37"/>
    </row>
    <row r="177" ht="15">
      <c r="K177" s="37"/>
    </row>
    <row r="178" ht="15">
      <c r="K178" s="37"/>
    </row>
    <row r="179" ht="15">
      <c r="K179" s="37"/>
    </row>
    <row r="180" ht="15">
      <c r="K180" s="37"/>
    </row>
    <row r="181" ht="15">
      <c r="K181" s="37"/>
    </row>
    <row r="182" ht="15">
      <c r="K182" s="37"/>
    </row>
    <row r="183" ht="15">
      <c r="K183" s="37"/>
    </row>
    <row r="184" ht="15">
      <c r="K184" s="37"/>
    </row>
    <row r="185" ht="15">
      <c r="K185" s="37"/>
    </row>
    <row r="186" ht="15">
      <c r="K186" s="37"/>
    </row>
    <row r="187" ht="15">
      <c r="K187" s="37"/>
    </row>
    <row r="188" ht="15">
      <c r="K188" s="37"/>
    </row>
    <row r="189" ht="15">
      <c r="K189" s="37"/>
    </row>
    <row r="190" ht="15">
      <c r="K190" s="37"/>
    </row>
    <row r="191" ht="15">
      <c r="K191" s="37"/>
    </row>
    <row r="192" ht="15">
      <c r="K192" s="37"/>
    </row>
    <row r="193" ht="15">
      <c r="K193" s="37"/>
    </row>
    <row r="194" ht="15">
      <c r="K194" s="37"/>
    </row>
    <row r="195" ht="15">
      <c r="K195" s="37"/>
    </row>
    <row r="196" ht="15">
      <c r="K196" s="37"/>
    </row>
    <row r="197" ht="15">
      <c r="K197" s="37"/>
    </row>
    <row r="198" ht="15">
      <c r="K198" s="37"/>
    </row>
    <row r="199" ht="15">
      <c r="K199" s="37"/>
    </row>
    <row r="200" ht="15">
      <c r="K200" s="37"/>
    </row>
    <row r="201" ht="15">
      <c r="K201" s="37"/>
    </row>
    <row r="202" ht="15">
      <c r="K202" s="37"/>
    </row>
    <row r="203" ht="15">
      <c r="K203" s="37"/>
    </row>
    <row r="204" ht="15">
      <c r="K204" s="37"/>
    </row>
    <row r="205" ht="15">
      <c r="K205" s="37"/>
    </row>
    <row r="206" ht="15">
      <c r="K206" s="37"/>
    </row>
    <row r="207" ht="15">
      <c r="K207" s="37"/>
    </row>
    <row r="208" ht="15">
      <c r="K208" s="37"/>
    </row>
    <row r="209" ht="15">
      <c r="K209" s="37"/>
    </row>
    <row r="210" ht="15">
      <c r="K210" s="37"/>
    </row>
    <row r="211" ht="15">
      <c r="K211" s="37"/>
    </row>
    <row r="212" ht="15">
      <c r="K212" s="37"/>
    </row>
    <row r="213" ht="15">
      <c r="K213" s="37"/>
    </row>
    <row r="214" ht="15">
      <c r="K214" s="37"/>
    </row>
    <row r="215" ht="15">
      <c r="K215" s="37"/>
    </row>
    <row r="216" ht="15">
      <c r="K216" s="37"/>
    </row>
    <row r="217" ht="15">
      <c r="K217" s="37"/>
    </row>
    <row r="218" ht="15">
      <c r="K218" s="37"/>
    </row>
    <row r="219" ht="15">
      <c r="K219" s="37"/>
    </row>
    <row r="220" ht="15">
      <c r="K220" s="37"/>
    </row>
    <row r="221" ht="15">
      <c r="K221" s="37"/>
    </row>
    <row r="222" ht="15">
      <c r="K222" s="37"/>
    </row>
    <row r="223" ht="15">
      <c r="K223" s="37"/>
    </row>
    <row r="224" ht="15">
      <c r="K224" s="37"/>
    </row>
    <row r="225" ht="15">
      <c r="K225" s="37"/>
    </row>
    <row r="226" ht="15">
      <c r="K226" s="37"/>
    </row>
    <row r="227" ht="15">
      <c r="K227" s="37"/>
    </row>
    <row r="228" ht="15">
      <c r="K228" s="37"/>
    </row>
    <row r="229" ht="15">
      <c r="K229" s="37"/>
    </row>
    <row r="230" ht="15">
      <c r="K230" s="37"/>
    </row>
    <row r="231" ht="15">
      <c r="K231" s="37"/>
    </row>
    <row r="232" ht="15">
      <c r="K232" s="37"/>
    </row>
    <row r="233" ht="15">
      <c r="K233" s="37"/>
    </row>
    <row r="234" ht="15">
      <c r="K234" s="37"/>
    </row>
    <row r="235" ht="15">
      <c r="K235" s="37"/>
    </row>
    <row r="236" ht="15">
      <c r="K236" s="37"/>
    </row>
    <row r="237" ht="15">
      <c r="K237" s="37"/>
    </row>
    <row r="238" ht="15">
      <c r="K238" s="37"/>
    </row>
    <row r="239" ht="15">
      <c r="K239" s="37"/>
    </row>
    <row r="240" ht="15">
      <c r="K240" s="37"/>
    </row>
    <row r="241" ht="15">
      <c r="K241" s="37"/>
    </row>
    <row r="242" ht="15">
      <c r="K242" s="37"/>
    </row>
    <row r="243" ht="15">
      <c r="K243" s="37"/>
    </row>
    <row r="244" ht="15">
      <c r="K244" s="37"/>
    </row>
    <row r="245" ht="15">
      <c r="K245" s="37"/>
    </row>
    <row r="246" ht="15">
      <c r="K246" s="37"/>
    </row>
    <row r="247" ht="15">
      <c r="K247" s="37"/>
    </row>
    <row r="248" ht="15">
      <c r="K248" s="37"/>
    </row>
    <row r="249" ht="15">
      <c r="K249" s="37"/>
    </row>
    <row r="250" ht="15">
      <c r="K250" s="37"/>
    </row>
    <row r="251" ht="15">
      <c r="K251" s="37"/>
    </row>
    <row r="252" ht="15">
      <c r="K252" s="37"/>
    </row>
    <row r="253" ht="15">
      <c r="K253" s="37"/>
    </row>
    <row r="254" ht="15">
      <c r="K254" s="37"/>
    </row>
    <row r="255" ht="15">
      <c r="K255" s="37"/>
    </row>
    <row r="256" ht="15">
      <c r="K256" s="37"/>
    </row>
    <row r="257" ht="15">
      <c r="K257" s="37"/>
    </row>
    <row r="258" ht="15">
      <c r="K258" s="37"/>
    </row>
    <row r="259" ht="15">
      <c r="K259" s="37"/>
    </row>
    <row r="260" ht="15">
      <c r="K260" s="37"/>
    </row>
    <row r="261" ht="15">
      <c r="K261" s="37"/>
    </row>
    <row r="262" ht="15">
      <c r="K262" s="37"/>
    </row>
    <row r="263" ht="15">
      <c r="K263" s="37"/>
    </row>
    <row r="264" ht="15">
      <c r="K264" s="37"/>
    </row>
    <row r="265" ht="15">
      <c r="K265" s="37"/>
    </row>
    <row r="266" ht="15">
      <c r="K266" s="37"/>
    </row>
    <row r="267" ht="15">
      <c r="K267" s="37"/>
    </row>
    <row r="268" ht="15">
      <c r="K268" s="37"/>
    </row>
    <row r="269" ht="15">
      <c r="K269" s="37"/>
    </row>
    <row r="270" ht="15">
      <c r="K270" s="37"/>
    </row>
    <row r="271" ht="15">
      <c r="K271" s="37"/>
    </row>
    <row r="272" ht="15">
      <c r="K272" s="37"/>
    </row>
    <row r="273" ht="15">
      <c r="K273" s="37"/>
    </row>
    <row r="274" ht="15">
      <c r="K274" s="37"/>
    </row>
    <row r="275" ht="15">
      <c r="K275" s="37"/>
    </row>
    <row r="276" ht="15">
      <c r="K276" s="37"/>
    </row>
    <row r="277" ht="15">
      <c r="K277" s="37"/>
    </row>
    <row r="278" ht="15">
      <c r="K278" s="37"/>
    </row>
    <row r="279" ht="15">
      <c r="K279" s="37"/>
    </row>
    <row r="280" ht="15">
      <c r="K280" s="37"/>
    </row>
    <row r="281" ht="15">
      <c r="K281" s="37"/>
    </row>
    <row r="282" ht="15">
      <c r="K282" s="37"/>
    </row>
    <row r="283" ht="15">
      <c r="K283" s="37"/>
    </row>
    <row r="284" ht="15">
      <c r="K284" s="37"/>
    </row>
    <row r="285" ht="15">
      <c r="K285" s="37"/>
    </row>
    <row r="286" ht="15">
      <c r="K286" s="37"/>
    </row>
    <row r="287" ht="15">
      <c r="K287" s="37"/>
    </row>
    <row r="288" ht="15">
      <c r="K288" s="37"/>
    </row>
    <row r="289" ht="15">
      <c r="K289" s="37"/>
    </row>
    <row r="290" ht="15">
      <c r="K290" s="37"/>
    </row>
    <row r="291" ht="15">
      <c r="K291" s="37"/>
    </row>
    <row r="292" ht="15">
      <c r="K292" s="37"/>
    </row>
    <row r="293" ht="15">
      <c r="K293" s="37"/>
    </row>
    <row r="294" ht="15">
      <c r="K294" s="37"/>
    </row>
    <row r="295" ht="15">
      <c r="K295" s="37"/>
    </row>
    <row r="296" ht="15">
      <c r="K296" s="37"/>
    </row>
    <row r="297" ht="15">
      <c r="K297" s="37"/>
    </row>
    <row r="298" ht="15">
      <c r="K298" s="37"/>
    </row>
    <row r="299" ht="15">
      <c r="K299" s="37"/>
    </row>
    <row r="300" ht="15">
      <c r="K300" s="37"/>
    </row>
    <row r="301" ht="15">
      <c r="K301" s="37"/>
    </row>
    <row r="302" ht="15">
      <c r="K302" s="37"/>
    </row>
    <row r="303" ht="15">
      <c r="K303" s="37"/>
    </row>
    <row r="304" ht="15">
      <c r="K304" s="37"/>
    </row>
    <row r="305" ht="15">
      <c r="K305" s="37"/>
    </row>
    <row r="306" ht="15">
      <c r="K306" s="37"/>
    </row>
    <row r="307" ht="15">
      <c r="K307" s="37"/>
    </row>
    <row r="308" ht="15">
      <c r="K308" s="37"/>
    </row>
    <row r="309" ht="15">
      <c r="K309" s="37"/>
    </row>
    <row r="310" ht="15">
      <c r="K310" s="37"/>
    </row>
    <row r="311" ht="15">
      <c r="K311" s="37"/>
    </row>
    <row r="312" ht="15">
      <c r="K312" s="37"/>
    </row>
    <row r="313" ht="15">
      <c r="K313" s="37"/>
    </row>
    <row r="314" ht="15">
      <c r="K314" s="37"/>
    </row>
    <row r="315" ht="15">
      <c r="K315" s="37"/>
    </row>
    <row r="316" ht="15">
      <c r="K316" s="37"/>
    </row>
    <row r="317" ht="15">
      <c r="K317" s="37"/>
    </row>
    <row r="318" ht="15">
      <c r="K318" s="37"/>
    </row>
    <row r="319" ht="15">
      <c r="K319" s="37"/>
    </row>
    <row r="320" ht="15">
      <c r="K320" s="37"/>
    </row>
    <row r="321" ht="15">
      <c r="K321" s="37"/>
    </row>
    <row r="322" ht="15">
      <c r="K322" s="37"/>
    </row>
    <row r="323" ht="15">
      <c r="K323" s="37"/>
    </row>
    <row r="324" ht="15">
      <c r="K324" s="37"/>
    </row>
    <row r="325" ht="15">
      <c r="K325" s="37"/>
    </row>
    <row r="326" ht="15">
      <c r="K326" s="37"/>
    </row>
    <row r="327" ht="15">
      <c r="K327" s="37"/>
    </row>
    <row r="328" ht="15">
      <c r="K328" s="37"/>
    </row>
    <row r="329" ht="15">
      <c r="K329" s="37"/>
    </row>
    <row r="330" ht="15">
      <c r="K330" s="37"/>
    </row>
    <row r="331" ht="15">
      <c r="K331" s="37"/>
    </row>
    <row r="332" ht="15">
      <c r="K332" s="37"/>
    </row>
    <row r="333" ht="15">
      <c r="K333" s="37"/>
    </row>
    <row r="334" ht="15">
      <c r="K334" s="37"/>
    </row>
    <row r="335" ht="15">
      <c r="K335" s="37"/>
    </row>
    <row r="336" ht="15">
      <c r="K336" s="37"/>
    </row>
    <row r="337" ht="15">
      <c r="K337" s="37"/>
    </row>
    <row r="338" ht="15">
      <c r="K338" s="37"/>
    </row>
    <row r="339" ht="15">
      <c r="K339" s="37"/>
    </row>
    <row r="340" ht="15">
      <c r="K340" s="37"/>
    </row>
    <row r="341" ht="15">
      <c r="K341" s="37"/>
    </row>
    <row r="342" ht="15">
      <c r="K342" s="37"/>
    </row>
    <row r="343" ht="15">
      <c r="K343" s="37"/>
    </row>
    <row r="344" ht="15">
      <c r="K344" s="37"/>
    </row>
    <row r="345" ht="15">
      <c r="K345" s="37"/>
    </row>
    <row r="346" ht="15">
      <c r="K346" s="37"/>
    </row>
    <row r="347" ht="15">
      <c r="K347" s="37"/>
    </row>
    <row r="348" ht="15">
      <c r="K348" s="37"/>
    </row>
    <row r="349" ht="15">
      <c r="K349" s="37"/>
    </row>
    <row r="350" ht="15">
      <c r="K350" s="37"/>
    </row>
    <row r="351" ht="15">
      <c r="K351" s="37"/>
    </row>
    <row r="352" ht="15">
      <c r="K352" s="37"/>
    </row>
    <row r="353" ht="15">
      <c r="K353" s="37"/>
    </row>
    <row r="354" ht="15">
      <c r="K354" s="37"/>
    </row>
    <row r="355" ht="15">
      <c r="K355" s="37"/>
    </row>
    <row r="356" ht="15">
      <c r="K356" s="37"/>
    </row>
    <row r="357" ht="15">
      <c r="K357" s="37"/>
    </row>
    <row r="358" ht="15">
      <c r="K358" s="37"/>
    </row>
    <row r="359" ht="15">
      <c r="K359" s="37"/>
    </row>
    <row r="360" ht="15">
      <c r="K360" s="37"/>
    </row>
    <row r="361" ht="15">
      <c r="K361" s="37"/>
    </row>
    <row r="362" ht="15">
      <c r="K362" s="37"/>
    </row>
    <row r="363" ht="15">
      <c r="K363" s="37"/>
    </row>
    <row r="364" ht="15">
      <c r="K364" s="37"/>
    </row>
    <row r="365" ht="15">
      <c r="K365" s="37"/>
    </row>
    <row r="366" ht="15">
      <c r="K366" s="37"/>
    </row>
    <row r="367" ht="15">
      <c r="K367" s="37"/>
    </row>
    <row r="368" ht="15">
      <c r="K368" s="37"/>
    </row>
    <row r="369" ht="15">
      <c r="K369" s="37"/>
    </row>
    <row r="370" ht="15">
      <c r="K370" s="37"/>
    </row>
    <row r="371" ht="15">
      <c r="K371" s="37"/>
    </row>
    <row r="372" ht="15">
      <c r="K372" s="37"/>
    </row>
    <row r="373" ht="15">
      <c r="K373" s="37"/>
    </row>
    <row r="374" ht="15">
      <c r="K374" s="37"/>
    </row>
    <row r="375" ht="15">
      <c r="K375" s="37"/>
    </row>
    <row r="376" ht="15">
      <c r="K376" s="37"/>
    </row>
    <row r="377" ht="15">
      <c r="K377" s="37"/>
    </row>
    <row r="378" ht="15">
      <c r="K378" s="37"/>
    </row>
    <row r="379" ht="15">
      <c r="K379" s="37"/>
    </row>
    <row r="380" ht="15">
      <c r="K380" s="37"/>
    </row>
    <row r="381" ht="15">
      <c r="K381" s="37"/>
    </row>
    <row r="382" ht="15">
      <c r="K382" s="37"/>
    </row>
    <row r="383" ht="15">
      <c r="K383" s="37"/>
    </row>
    <row r="384" ht="15">
      <c r="K384" s="37"/>
    </row>
    <row r="385" ht="15">
      <c r="K385" s="37"/>
    </row>
    <row r="386" ht="15">
      <c r="K386" s="37"/>
    </row>
    <row r="387" ht="15">
      <c r="K387" s="37"/>
    </row>
    <row r="388" ht="15">
      <c r="K388" s="37"/>
    </row>
    <row r="389" ht="15">
      <c r="K389" s="37"/>
    </row>
    <row r="390" ht="15">
      <c r="K390" s="37"/>
    </row>
    <row r="391" ht="15">
      <c r="K391" s="37"/>
    </row>
    <row r="392" ht="15">
      <c r="K392" s="37"/>
    </row>
    <row r="393" ht="15">
      <c r="K393" s="37"/>
    </row>
    <row r="394" ht="15">
      <c r="K394" s="37"/>
    </row>
    <row r="395" ht="15">
      <c r="K395" s="37"/>
    </row>
    <row r="396" ht="15">
      <c r="K396" s="37"/>
    </row>
    <row r="397" ht="15">
      <c r="K397" s="37"/>
    </row>
    <row r="398" ht="15">
      <c r="K398" s="37"/>
    </row>
    <row r="399" ht="15">
      <c r="K399" s="37"/>
    </row>
    <row r="400" ht="15">
      <c r="K400" s="37"/>
    </row>
    <row r="401" ht="15">
      <c r="K401" s="37"/>
    </row>
    <row r="402" ht="15">
      <c r="K402" s="37"/>
    </row>
    <row r="403" ht="15">
      <c r="K403" s="37"/>
    </row>
    <row r="404" ht="15">
      <c r="K404" s="37"/>
    </row>
    <row r="405" ht="15">
      <c r="K405" s="37"/>
    </row>
    <row r="406" ht="15">
      <c r="K406" s="37"/>
    </row>
    <row r="407" ht="15">
      <c r="K407" s="37"/>
    </row>
    <row r="408" ht="15">
      <c r="K408" s="37"/>
    </row>
    <row r="409" ht="15">
      <c r="K409" s="37"/>
    </row>
    <row r="410" ht="15">
      <c r="K410" s="37"/>
    </row>
    <row r="411" ht="15">
      <c r="K411" s="37"/>
    </row>
    <row r="412" ht="15">
      <c r="K412" s="37"/>
    </row>
    <row r="413" ht="15">
      <c r="K413" s="37"/>
    </row>
    <row r="414" ht="15">
      <c r="K414" s="37"/>
    </row>
    <row r="415" ht="15">
      <c r="K415" s="37"/>
    </row>
    <row r="416" ht="15">
      <c r="K416" s="37"/>
    </row>
    <row r="417" ht="15">
      <c r="K417" s="37"/>
    </row>
    <row r="418" ht="15">
      <c r="K418" s="37"/>
    </row>
    <row r="419" ht="15">
      <c r="K419" s="37"/>
    </row>
    <row r="420" ht="15">
      <c r="K420" s="37"/>
    </row>
    <row r="421" ht="15">
      <c r="K421" s="37"/>
    </row>
    <row r="422" ht="15">
      <c r="K422" s="37"/>
    </row>
    <row r="423" ht="15">
      <c r="K423" s="37"/>
    </row>
    <row r="424" ht="15">
      <c r="K424" s="37"/>
    </row>
    <row r="425" ht="15">
      <c r="K425" s="37"/>
    </row>
    <row r="426" ht="15">
      <c r="K426" s="37"/>
    </row>
    <row r="427" ht="15">
      <c r="K427" s="37"/>
    </row>
    <row r="428" ht="15">
      <c r="K428" s="37"/>
    </row>
    <row r="429" ht="15">
      <c r="K429" s="37"/>
    </row>
    <row r="430" ht="15">
      <c r="K430" s="37"/>
    </row>
    <row r="431" ht="15">
      <c r="K431" s="37"/>
    </row>
    <row r="432" ht="15">
      <c r="K432" s="37"/>
    </row>
    <row r="433" ht="15">
      <c r="K433" s="37"/>
    </row>
    <row r="434" ht="15">
      <c r="K434" s="37"/>
    </row>
    <row r="435" ht="15">
      <c r="K435" s="37"/>
    </row>
    <row r="436" ht="15">
      <c r="K436" s="37"/>
    </row>
    <row r="437" ht="15">
      <c r="K437" s="37"/>
    </row>
    <row r="438" ht="15">
      <c r="K438" s="37"/>
    </row>
    <row r="439" ht="15">
      <c r="K439" s="37"/>
    </row>
    <row r="440" ht="15">
      <c r="K440" s="37"/>
    </row>
    <row r="441" ht="15">
      <c r="K441" s="37"/>
    </row>
    <row r="442" ht="15">
      <c r="K442" s="37"/>
    </row>
    <row r="443" ht="15">
      <c r="K443" s="37"/>
    </row>
    <row r="444" ht="15">
      <c r="K444" s="37"/>
    </row>
    <row r="445" ht="15">
      <c r="K445" s="37"/>
    </row>
    <row r="446" ht="15">
      <c r="K446" s="37"/>
    </row>
    <row r="447" ht="15">
      <c r="K447" s="37"/>
    </row>
    <row r="448" ht="15">
      <c r="K448" s="37"/>
    </row>
    <row r="449" ht="15">
      <c r="K449" s="37"/>
    </row>
    <row r="450" ht="15">
      <c r="K450" s="37"/>
    </row>
    <row r="451" ht="15">
      <c r="K451" s="37"/>
    </row>
    <row r="452" ht="15">
      <c r="K452" s="37"/>
    </row>
    <row r="453" ht="15">
      <c r="K453" s="37"/>
    </row>
    <row r="454" ht="15">
      <c r="K454" s="37"/>
    </row>
    <row r="455" ht="15">
      <c r="K455" s="37"/>
    </row>
    <row r="456" ht="15">
      <c r="K456" s="37"/>
    </row>
    <row r="457" ht="15">
      <c r="K457" s="37"/>
    </row>
    <row r="458" ht="15">
      <c r="K458" s="37"/>
    </row>
    <row r="459" ht="15">
      <c r="K459" s="37"/>
    </row>
    <row r="460" ht="15">
      <c r="K460" s="37"/>
    </row>
    <row r="461" ht="15">
      <c r="K461" s="37"/>
    </row>
    <row r="462" ht="15">
      <c r="K462" s="37"/>
    </row>
    <row r="463" ht="15">
      <c r="K463" s="37"/>
    </row>
    <row r="464" ht="15">
      <c r="K464" s="37"/>
    </row>
    <row r="465" ht="15">
      <c r="K465" s="37"/>
    </row>
    <row r="466" ht="15">
      <c r="K466" s="37"/>
    </row>
    <row r="467" ht="15">
      <c r="K467" s="37"/>
    </row>
    <row r="468" ht="15">
      <c r="K468" s="37"/>
    </row>
    <row r="469" ht="15">
      <c r="K469" s="37"/>
    </row>
    <row r="470" ht="15">
      <c r="K470" s="37"/>
    </row>
    <row r="471" ht="15">
      <c r="K471" s="37"/>
    </row>
    <row r="472" ht="15">
      <c r="K472" s="37"/>
    </row>
    <row r="473" ht="15">
      <c r="K473" s="37"/>
    </row>
    <row r="474" ht="15">
      <c r="K474" s="37"/>
    </row>
    <row r="475" ht="15">
      <c r="K475" s="37"/>
    </row>
    <row r="476" ht="15">
      <c r="K476" s="37"/>
    </row>
    <row r="477" ht="15">
      <c r="K477" s="37"/>
    </row>
    <row r="478" ht="15">
      <c r="K478" s="37"/>
    </row>
    <row r="479" ht="15">
      <c r="K479" s="37"/>
    </row>
    <row r="480" ht="15">
      <c r="K480" s="37"/>
    </row>
    <row r="481" ht="15">
      <c r="K481" s="37"/>
    </row>
    <row r="482" ht="15">
      <c r="K482" s="37"/>
    </row>
    <row r="483" ht="15">
      <c r="K483" s="37"/>
    </row>
    <row r="484" ht="15">
      <c r="K484" s="37"/>
    </row>
    <row r="485" ht="15">
      <c r="K485" s="37"/>
    </row>
    <row r="486" ht="15">
      <c r="K486" s="37"/>
    </row>
    <row r="487" ht="15">
      <c r="K487" s="37"/>
    </row>
    <row r="488" ht="15">
      <c r="K488" s="37"/>
    </row>
    <row r="489" ht="15">
      <c r="K489" s="37"/>
    </row>
    <row r="490" ht="15">
      <c r="K490" s="37"/>
    </row>
    <row r="491" ht="15">
      <c r="K491" s="37"/>
    </row>
    <row r="492" ht="15">
      <c r="K492" s="37"/>
    </row>
    <row r="493" ht="15">
      <c r="K493" s="37"/>
    </row>
    <row r="494" ht="15">
      <c r="K494" s="37"/>
    </row>
    <row r="495" ht="15">
      <c r="K495" s="37"/>
    </row>
    <row r="496" ht="15">
      <c r="K496" s="37"/>
    </row>
    <row r="497" ht="15">
      <c r="K497" s="37"/>
    </row>
    <row r="498" ht="15">
      <c r="K498" s="37"/>
    </row>
    <row r="499" ht="15">
      <c r="K499" s="37"/>
    </row>
    <row r="500" ht="15">
      <c r="K500" s="37"/>
    </row>
    <row r="501" ht="15">
      <c r="K501" s="37"/>
    </row>
    <row r="502" ht="15">
      <c r="K502" s="37"/>
    </row>
  </sheetData>
  <sheetProtection password="CBFF" sheet="1" objects="1" scenarios="1" selectLockedCells="1"/>
  <mergeCells count="39">
    <mergeCell ref="A42:G42"/>
    <mergeCell ref="D26:D28"/>
    <mergeCell ref="E26:E28"/>
    <mergeCell ref="F26:F28"/>
    <mergeCell ref="E38:F38"/>
    <mergeCell ref="D36:F36"/>
    <mergeCell ref="D39:F39"/>
    <mergeCell ref="D4:E4"/>
    <mergeCell ref="D6:E6"/>
    <mergeCell ref="D8:F8"/>
    <mergeCell ref="B26:B28"/>
    <mergeCell ref="C26:C28"/>
    <mergeCell ref="E16:G16"/>
    <mergeCell ref="E18:G18"/>
    <mergeCell ref="E20:G20"/>
    <mergeCell ref="C21:D21"/>
    <mergeCell ref="B23:C23"/>
    <mergeCell ref="B24:C24"/>
    <mergeCell ref="B22:D22"/>
    <mergeCell ref="T17:Z19"/>
    <mergeCell ref="AA10:AB14"/>
    <mergeCell ref="AA17:AB19"/>
    <mergeCell ref="T4:Z5"/>
    <mergeCell ref="AA15:AB16"/>
    <mergeCell ref="AA4:AB5"/>
    <mergeCell ref="T15:Z16"/>
    <mergeCell ref="T10:Z12"/>
    <mergeCell ref="AA6:AB9"/>
    <mergeCell ref="T13:Z14"/>
    <mergeCell ref="T6:Z6"/>
    <mergeCell ref="T7:Z9"/>
    <mergeCell ref="T30:Z31"/>
    <mergeCell ref="AA28:AB29"/>
    <mergeCell ref="AA30:AB31"/>
    <mergeCell ref="T25:Z25"/>
    <mergeCell ref="AA25:AB25"/>
    <mergeCell ref="T26:Z27"/>
    <mergeCell ref="AA26:AB27"/>
    <mergeCell ref="T28:Z29"/>
  </mergeCells>
  <conditionalFormatting sqref="D24">
    <cfRule type="cellIs" priority="1" dxfId="5" operator="lessThan">
      <formula>300</formula>
    </cfRule>
  </conditionalFormatting>
  <conditionalFormatting sqref="D34:F35">
    <cfRule type="expression" priority="10" dxfId="6">
      <formula>$D$18=1</formula>
    </cfRule>
  </conditionalFormatting>
  <conditionalFormatting sqref="F35">
    <cfRule type="expression" priority="11" dxfId="3">
      <formula>$D$18=1</formula>
    </cfRule>
  </conditionalFormatting>
  <conditionalFormatting sqref="B22:D24">
    <cfRule type="expression" priority="12" dxfId="6">
      <formula>$D$18&gt;1</formula>
    </cfRule>
  </conditionalFormatting>
  <dataValidations count="3">
    <dataValidation type="list" allowBlank="1" showInputMessage="1" showErrorMessage="1" sqref="D14">
      <formula1>Lk</formula1>
    </dataValidation>
    <dataValidation type="list" allowBlank="1" showInputMessage="1" showErrorMessage="1" sqref="D16">
      <formula1>Kn</formula1>
    </dataValidation>
    <dataValidation type="whole" allowBlank="1" showInputMessage="1" showErrorMessage="1" sqref="D18">
      <formula1>1</formula1>
      <formula2>60</formula2>
    </dataValidation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2" sqref="B2:B5"/>
    </sheetView>
  </sheetViews>
  <sheetFormatPr defaultColWidth="9.140625" defaultRowHeight="15"/>
  <cols>
    <col min="2" max="2" width="8.7109375" style="4" customWidth="1"/>
    <col min="3" max="3" width="9.140625" style="1" customWidth="1"/>
  </cols>
  <sheetData>
    <row r="1" spans="1:2" ht="15">
      <c r="A1" s="3" t="s">
        <v>3</v>
      </c>
      <c r="B1" s="5" t="s">
        <v>0</v>
      </c>
    </row>
    <row r="2" spans="1:2" ht="15">
      <c r="A2" s="2">
        <v>0.3</v>
      </c>
      <c r="B2" s="4">
        <v>1</v>
      </c>
    </row>
    <row r="3" spans="1:2" ht="15">
      <c r="A3" s="2">
        <v>0.5</v>
      </c>
      <c r="B3" s="4">
        <v>3</v>
      </c>
    </row>
    <row r="4" spans="1:2" ht="15">
      <c r="A4" s="2">
        <v>1</v>
      </c>
      <c r="B4" s="4">
        <v>5</v>
      </c>
    </row>
    <row r="5" spans="1:2" ht="15">
      <c r="A5" s="2"/>
      <c r="B5" s="4">
        <v>7</v>
      </c>
    </row>
    <row r="6" ht="15">
      <c r="A6" s="2"/>
    </row>
    <row r="7" ht="15">
      <c r="A7" s="2"/>
    </row>
    <row r="8" ht="15">
      <c r="A8" s="2"/>
    </row>
    <row r="9" ht="15">
      <c r="A9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L69"/>
  <sheetViews>
    <sheetView showGridLines="0" showRowColHeaders="0" zoomScalePageLayoutView="0" workbookViewId="0" topLeftCell="A1">
      <selection activeCell="A2" sqref="A2"/>
    </sheetView>
  </sheetViews>
  <sheetFormatPr defaultColWidth="9.140625" defaultRowHeight="15"/>
  <cols>
    <col min="1" max="1" width="4.8515625" style="0" customWidth="1"/>
    <col min="2" max="2" width="8.421875" style="0" customWidth="1"/>
    <col min="3" max="3" width="16.00390625" style="0" customWidth="1"/>
    <col min="5" max="5" width="31.57421875" style="0" customWidth="1"/>
    <col min="6" max="6" width="19.00390625" style="0" customWidth="1"/>
    <col min="7" max="7" width="3.8515625" style="0" customWidth="1"/>
    <col min="8" max="8" width="9.28125" style="0" customWidth="1"/>
    <col min="9" max="9" width="9.140625" style="9" hidden="1" customWidth="1"/>
    <col min="10" max="10" width="9.140625" style="0" hidden="1" customWidth="1"/>
    <col min="11" max="11" width="13.7109375" style="0" hidden="1" customWidth="1"/>
    <col min="12" max="12" width="9.140625" style="0" hidden="1" customWidth="1"/>
    <col min="13" max="13" width="0" style="0" hidden="1" customWidth="1"/>
  </cols>
  <sheetData>
    <row r="1" spans="1:7" ht="15.75">
      <c r="A1" s="201" t="s">
        <v>11</v>
      </c>
      <c r="B1" s="201"/>
      <c r="C1" s="201"/>
      <c r="D1" s="201"/>
      <c r="E1" s="201"/>
      <c r="F1" s="201"/>
      <c r="G1" s="201"/>
    </row>
    <row r="2" spans="1:6" ht="15">
      <c r="A2" s="124"/>
      <c r="B2" s="121">
        <f>IF(OR(unos!D12="",unos!D14="",unos!D16="",unos!D18=""),1,0)</f>
        <v>1</v>
      </c>
      <c r="C2" s="5"/>
      <c r="D2" s="5"/>
      <c r="E2" s="5"/>
      <c r="F2" s="7">
        <f>unos!D20</f>
        <v>0</v>
      </c>
    </row>
    <row r="3" spans="1:6" ht="15">
      <c r="A3" s="200" t="str">
        <f>"Obveznik: "&amp;unos!D8</f>
        <v>Obveznik: </v>
      </c>
      <c r="B3" s="200"/>
      <c r="C3" s="200"/>
      <c r="D3" s="200"/>
      <c r="E3" s="200"/>
      <c r="F3" s="200"/>
    </row>
    <row r="4" spans="1:6" ht="15">
      <c r="A4" s="199" t="str">
        <f>"Veza: Rješenje Općine "&amp;unos!D2&amp;" od "&amp;TEXT(unos!D10,"d.m.yyyy.")&amp;" | KLASA: "&amp;unos!D4&amp;"  | "&amp;"URBROJ: "&amp;unos!D6</f>
        <v>Veza: Rješenje Općine KAPTOL od 0.1.1900. | KLASA: 363-02/12-01/1  | URBROJ: 2177/05-02-12-1</v>
      </c>
      <c r="B4" s="199"/>
      <c r="C4" s="199"/>
      <c r="D4" s="199"/>
      <c r="E4" s="199"/>
      <c r="F4" s="199"/>
    </row>
    <row r="5" spans="1:6" ht="15">
      <c r="A5" s="200" t="str">
        <f>"Ukupan iznos naknade za zadržavanje zgrade u prostoru: "&amp;TEXT(F2,"#.##0,00 KN")</f>
        <v>Ukupan iznos naknade za zadržavanje zgrade u prostoru: 0,00 kn</v>
      </c>
      <c r="B5" s="200"/>
      <c r="C5" s="200"/>
      <c r="D5" s="200"/>
      <c r="E5" s="200"/>
      <c r="F5" s="200"/>
    </row>
    <row r="6" spans="1:7" ht="15.75">
      <c r="A6" s="203" t="str">
        <f>"Broj obroka: "&amp;unos!D18</f>
        <v>Broj obroka: </v>
      </c>
      <c r="B6" s="203"/>
      <c r="C6" s="203"/>
      <c r="D6" s="197" t="str">
        <f>unos!E18&amp;" "&amp;unos!E16</f>
        <v> </v>
      </c>
      <c r="E6" s="197"/>
      <c r="F6" s="197"/>
      <c r="G6" s="197"/>
    </row>
    <row r="7" spans="1:6" ht="6" customHeight="1">
      <c r="A7" s="8"/>
      <c r="B7" s="8"/>
      <c r="C7" s="8"/>
      <c r="D7" s="8"/>
      <c r="E7" s="8"/>
      <c r="F7" s="8"/>
    </row>
    <row r="8" spans="2:7" ht="27" customHeight="1">
      <c r="B8" s="122" t="s">
        <v>12</v>
      </c>
      <c r="C8" s="122" t="s">
        <v>8</v>
      </c>
      <c r="D8" s="202" t="s">
        <v>24</v>
      </c>
      <c r="E8" s="202"/>
      <c r="F8" s="122" t="s">
        <v>10</v>
      </c>
      <c r="G8" s="6"/>
    </row>
    <row r="9" spans="2:12" ht="15">
      <c r="B9" s="14">
        <f>unos!O25</f>
      </c>
      <c r="C9" s="15" t="e">
        <f>unos!P25</f>
        <v>#DIV/0!</v>
      </c>
      <c r="D9" s="198" t="str">
        <f>DAY(I9)&amp;" "&amp;K9&amp;" "&amp;L9&amp;"."</f>
        <v>14  veljače  1900.</v>
      </c>
      <c r="E9" s="198"/>
      <c r="F9" s="16">
        <f>unos!Q25</f>
      </c>
      <c r="I9" s="9">
        <f>unos!F10+30</f>
        <v>45</v>
      </c>
      <c r="J9">
        <f>MONTH(I9)</f>
        <v>2</v>
      </c>
      <c r="K9" t="str">
        <f>CHOOSE(J9," siječnja "," veljače "," ožujka "," travnja "," svibnja "," lipnja "," srpnja "," kolovoza "," rujna "," listopada "," studenog "," prosinca ")</f>
        <v> veljače </v>
      </c>
      <c r="L9">
        <f>YEAR(I9)</f>
        <v>1900</v>
      </c>
    </row>
    <row r="10" spans="2:12" ht="15" customHeight="1">
      <c r="B10" s="10">
        <f>unos!O26</f>
      </c>
      <c r="C10" s="11">
        <f>unos!P26</f>
      </c>
      <c r="D10" s="196">
        <f>IF(C10="","","20. "&amp;K10&amp;" "&amp;L10&amp;".")</f>
      </c>
      <c r="E10" s="196"/>
      <c r="F10" s="13">
        <f>unos!Q26</f>
      </c>
      <c r="J10">
        <f>IF(J9+1&gt;12,1,J9+1)</f>
        <v>3</v>
      </c>
      <c r="K10" t="str">
        <f aca="true" t="shared" si="0" ref="K10:K68">CHOOSE(J10," siječnja "," veljače "," ožujka "," travnja "," svibnja "," lipnja "," srpnja "," kolovoza "," rujna "," listopada "," studenog "," prosinca ")</f>
        <v> ožujka </v>
      </c>
      <c r="L10">
        <f>IF(J10=1,L9+1,L9)</f>
        <v>1900</v>
      </c>
    </row>
    <row r="11" spans="2:12" ht="15">
      <c r="B11" s="10">
        <f>unos!O27</f>
      </c>
      <c r="C11" s="11">
        <f>unos!P27</f>
      </c>
      <c r="D11" s="196">
        <f>IF(C11="","","20. "&amp;K11&amp;" "&amp;L11&amp;".")</f>
      </c>
      <c r="E11" s="196"/>
      <c r="F11" s="13">
        <f>unos!Q27</f>
      </c>
      <c r="J11">
        <f aca="true" t="shared" si="1" ref="J11:J68">IF(J10+1&gt;12,1,J10+1)</f>
        <v>4</v>
      </c>
      <c r="K11" t="str">
        <f t="shared" si="0"/>
        <v> travnja </v>
      </c>
      <c r="L11">
        <f aca="true" t="shared" si="2" ref="L11:L68">IF(J11=1,L10+1,L10)</f>
        <v>1900</v>
      </c>
    </row>
    <row r="12" spans="2:12" ht="15">
      <c r="B12" s="10">
        <f>unos!O28</f>
      </c>
      <c r="C12" s="11">
        <f>unos!P28</f>
      </c>
      <c r="D12" s="196">
        <f aca="true" t="shared" si="3" ref="D12:D68">IF(C12="","","20. "&amp;K12&amp;" "&amp;L12&amp;".")</f>
      </c>
      <c r="E12" s="196"/>
      <c r="F12" s="13">
        <f>unos!Q28</f>
      </c>
      <c r="J12">
        <f t="shared" si="1"/>
        <v>5</v>
      </c>
      <c r="K12" t="str">
        <f t="shared" si="0"/>
        <v> svibnja </v>
      </c>
      <c r="L12">
        <f t="shared" si="2"/>
        <v>1900</v>
      </c>
    </row>
    <row r="13" spans="2:12" ht="15">
      <c r="B13" s="10">
        <f>unos!O29</f>
      </c>
      <c r="C13" s="11">
        <f>unos!P29</f>
      </c>
      <c r="D13" s="196">
        <f t="shared" si="3"/>
      </c>
      <c r="E13" s="196"/>
      <c r="F13" s="13">
        <f>unos!Q29</f>
      </c>
      <c r="J13">
        <f t="shared" si="1"/>
        <v>6</v>
      </c>
      <c r="K13" t="str">
        <f t="shared" si="0"/>
        <v> lipnja </v>
      </c>
      <c r="L13">
        <f t="shared" si="2"/>
        <v>1900</v>
      </c>
    </row>
    <row r="14" spans="2:12" ht="15">
      <c r="B14" s="10">
        <f>unos!O30</f>
      </c>
      <c r="C14" s="11">
        <f>unos!P30</f>
      </c>
      <c r="D14" s="196">
        <f t="shared" si="3"/>
      </c>
      <c r="E14" s="196"/>
      <c r="F14" s="13">
        <f>unos!Q30</f>
      </c>
      <c r="J14">
        <f t="shared" si="1"/>
        <v>7</v>
      </c>
      <c r="K14" t="str">
        <f t="shared" si="0"/>
        <v> srpnja </v>
      </c>
      <c r="L14">
        <f t="shared" si="2"/>
        <v>1900</v>
      </c>
    </row>
    <row r="15" spans="2:12" ht="15">
      <c r="B15" s="10">
        <f>unos!O31</f>
      </c>
      <c r="C15" s="11">
        <f>unos!P31</f>
      </c>
      <c r="D15" s="196">
        <f t="shared" si="3"/>
      </c>
      <c r="E15" s="196"/>
      <c r="F15" s="13">
        <f>unos!Q31</f>
      </c>
      <c r="J15">
        <f t="shared" si="1"/>
        <v>8</v>
      </c>
      <c r="K15" t="str">
        <f t="shared" si="0"/>
        <v> kolovoza </v>
      </c>
      <c r="L15">
        <f t="shared" si="2"/>
        <v>1900</v>
      </c>
    </row>
    <row r="16" spans="2:12" ht="15">
      <c r="B16" s="10">
        <f>unos!O32</f>
      </c>
      <c r="C16" s="11">
        <f>unos!P32</f>
      </c>
      <c r="D16" s="196">
        <f t="shared" si="3"/>
      </c>
      <c r="E16" s="196"/>
      <c r="F16" s="13">
        <f>unos!Q32</f>
      </c>
      <c r="J16">
        <f t="shared" si="1"/>
        <v>9</v>
      </c>
      <c r="K16" t="str">
        <f t="shared" si="0"/>
        <v> rujna </v>
      </c>
      <c r="L16">
        <f t="shared" si="2"/>
        <v>1900</v>
      </c>
    </row>
    <row r="17" spans="2:12" ht="15">
      <c r="B17" s="10">
        <f>unos!O33</f>
      </c>
      <c r="C17" s="11">
        <f>unos!P33</f>
      </c>
      <c r="D17" s="196">
        <f>IF(C17="","","20. "&amp;K17&amp;" "&amp;L17&amp;".")</f>
      </c>
      <c r="E17" s="196"/>
      <c r="F17" s="13">
        <f>unos!Q33</f>
      </c>
      <c r="J17">
        <f t="shared" si="1"/>
        <v>10</v>
      </c>
      <c r="K17" t="str">
        <f t="shared" si="0"/>
        <v> listopada </v>
      </c>
      <c r="L17">
        <f t="shared" si="2"/>
        <v>1900</v>
      </c>
    </row>
    <row r="18" spans="2:12" ht="15">
      <c r="B18" s="10">
        <f>unos!O34</f>
      </c>
      <c r="C18" s="11">
        <f>unos!P34</f>
      </c>
      <c r="D18" s="196">
        <f>IF(C18="","","20. "&amp;K18&amp;" "&amp;L18&amp;".")</f>
      </c>
      <c r="E18" s="196"/>
      <c r="F18" s="13">
        <f>unos!Q34</f>
      </c>
      <c r="J18">
        <f t="shared" si="1"/>
        <v>11</v>
      </c>
      <c r="K18" t="str">
        <f t="shared" si="0"/>
        <v> studenog </v>
      </c>
      <c r="L18">
        <f t="shared" si="2"/>
        <v>1900</v>
      </c>
    </row>
    <row r="19" spans="2:12" ht="15">
      <c r="B19" s="10">
        <f>unos!O35</f>
      </c>
      <c r="C19" s="11">
        <f>unos!P35</f>
      </c>
      <c r="D19" s="196">
        <f>IF(C19="","","20. "&amp;K19&amp;" "&amp;L19&amp;".")</f>
      </c>
      <c r="E19" s="196"/>
      <c r="F19" s="13">
        <f>unos!Q35</f>
      </c>
      <c r="J19">
        <f t="shared" si="1"/>
        <v>12</v>
      </c>
      <c r="K19" t="str">
        <f t="shared" si="0"/>
        <v> prosinca </v>
      </c>
      <c r="L19">
        <f t="shared" si="2"/>
        <v>1900</v>
      </c>
    </row>
    <row r="20" spans="2:12" ht="15">
      <c r="B20" s="10">
        <f>unos!O36</f>
      </c>
      <c r="C20" s="11">
        <f>unos!P36</f>
      </c>
      <c r="D20" s="196">
        <f>IF(C20="","","20. "&amp;K20&amp;" "&amp;L20&amp;".")</f>
      </c>
      <c r="E20" s="196"/>
      <c r="F20" s="13">
        <f>unos!Q36</f>
      </c>
      <c r="J20">
        <f t="shared" si="1"/>
        <v>1</v>
      </c>
      <c r="K20" t="str">
        <f t="shared" si="0"/>
        <v> siječnja </v>
      </c>
      <c r="L20">
        <f t="shared" si="2"/>
        <v>1901</v>
      </c>
    </row>
    <row r="21" spans="2:12" ht="15">
      <c r="B21" s="10">
        <f>unos!O37</f>
      </c>
      <c r="C21" s="11">
        <f>unos!P37</f>
      </c>
      <c r="D21" s="196">
        <f t="shared" si="3"/>
      </c>
      <c r="E21" s="196"/>
      <c r="F21" s="13">
        <f>unos!Q37</f>
      </c>
      <c r="J21">
        <f t="shared" si="1"/>
        <v>2</v>
      </c>
      <c r="K21" t="str">
        <f t="shared" si="0"/>
        <v> veljače </v>
      </c>
      <c r="L21">
        <f t="shared" si="2"/>
        <v>1901</v>
      </c>
    </row>
    <row r="22" spans="2:12" ht="15">
      <c r="B22" s="10">
        <f>unos!O38</f>
      </c>
      <c r="C22" s="11">
        <f>unos!P38</f>
      </c>
      <c r="D22" s="196">
        <f t="shared" si="3"/>
      </c>
      <c r="E22" s="196"/>
      <c r="F22" s="13">
        <f>unos!Q38</f>
      </c>
      <c r="J22">
        <f t="shared" si="1"/>
        <v>3</v>
      </c>
      <c r="K22" t="str">
        <f t="shared" si="0"/>
        <v> ožujka </v>
      </c>
      <c r="L22">
        <f t="shared" si="2"/>
        <v>1901</v>
      </c>
    </row>
    <row r="23" spans="2:12" ht="15">
      <c r="B23" s="10">
        <f>unos!O39</f>
      </c>
      <c r="C23" s="11">
        <f>unos!P39</f>
      </c>
      <c r="D23" s="196">
        <f t="shared" si="3"/>
      </c>
      <c r="E23" s="196"/>
      <c r="F23" s="13">
        <f>unos!Q39</f>
      </c>
      <c r="J23">
        <f t="shared" si="1"/>
        <v>4</v>
      </c>
      <c r="K23" t="str">
        <f t="shared" si="0"/>
        <v> travnja </v>
      </c>
      <c r="L23">
        <f t="shared" si="2"/>
        <v>1901</v>
      </c>
    </row>
    <row r="24" spans="2:12" ht="15">
      <c r="B24" s="10">
        <f>unos!O40</f>
      </c>
      <c r="C24" s="11">
        <f>unos!P40</f>
      </c>
      <c r="D24" s="196">
        <f t="shared" si="3"/>
      </c>
      <c r="E24" s="196"/>
      <c r="F24" s="13">
        <f>unos!Q40</f>
      </c>
      <c r="J24">
        <f t="shared" si="1"/>
        <v>5</v>
      </c>
      <c r="K24" t="str">
        <f t="shared" si="0"/>
        <v> svibnja </v>
      </c>
      <c r="L24">
        <f t="shared" si="2"/>
        <v>1901</v>
      </c>
    </row>
    <row r="25" spans="2:12" ht="15">
      <c r="B25" s="10">
        <f>unos!O41</f>
      </c>
      <c r="C25" s="11">
        <f>unos!P41</f>
      </c>
      <c r="D25" s="196">
        <f t="shared" si="3"/>
      </c>
      <c r="E25" s="196"/>
      <c r="F25" s="13">
        <f>unos!Q41</f>
      </c>
      <c r="J25">
        <f t="shared" si="1"/>
        <v>6</v>
      </c>
      <c r="K25" t="str">
        <f t="shared" si="0"/>
        <v> lipnja </v>
      </c>
      <c r="L25">
        <f t="shared" si="2"/>
        <v>1901</v>
      </c>
    </row>
    <row r="26" spans="2:12" ht="15">
      <c r="B26" s="10">
        <f>unos!O42</f>
      </c>
      <c r="C26" s="11">
        <f>unos!P42</f>
      </c>
      <c r="D26" s="196">
        <f t="shared" si="3"/>
      </c>
      <c r="E26" s="196"/>
      <c r="F26" s="13">
        <f>unos!Q42</f>
      </c>
      <c r="J26">
        <f t="shared" si="1"/>
        <v>7</v>
      </c>
      <c r="K26" t="str">
        <f t="shared" si="0"/>
        <v> srpnja </v>
      </c>
      <c r="L26">
        <f t="shared" si="2"/>
        <v>1901</v>
      </c>
    </row>
    <row r="27" spans="2:12" ht="15">
      <c r="B27" s="10">
        <f>unos!O43</f>
      </c>
      <c r="C27" s="11">
        <f>unos!P43</f>
      </c>
      <c r="D27" s="196">
        <f t="shared" si="3"/>
      </c>
      <c r="E27" s="196"/>
      <c r="F27" s="13">
        <f>unos!Q43</f>
      </c>
      <c r="J27">
        <f t="shared" si="1"/>
        <v>8</v>
      </c>
      <c r="K27" t="str">
        <f t="shared" si="0"/>
        <v> kolovoza </v>
      </c>
      <c r="L27">
        <f t="shared" si="2"/>
        <v>1901</v>
      </c>
    </row>
    <row r="28" spans="2:12" ht="15">
      <c r="B28" s="10">
        <f>unos!O44</f>
      </c>
      <c r="C28" s="11">
        <f>unos!P44</f>
      </c>
      <c r="D28" s="196">
        <f t="shared" si="3"/>
      </c>
      <c r="E28" s="196"/>
      <c r="F28" s="13">
        <f>unos!Q44</f>
      </c>
      <c r="J28">
        <f t="shared" si="1"/>
        <v>9</v>
      </c>
      <c r="K28" t="str">
        <f t="shared" si="0"/>
        <v> rujna </v>
      </c>
      <c r="L28">
        <f t="shared" si="2"/>
        <v>1901</v>
      </c>
    </row>
    <row r="29" spans="2:12" ht="15">
      <c r="B29" s="10">
        <f>unos!O45</f>
      </c>
      <c r="C29" s="11">
        <f>unos!P45</f>
      </c>
      <c r="D29" s="196">
        <f t="shared" si="3"/>
      </c>
      <c r="E29" s="196"/>
      <c r="F29" s="13">
        <f>unos!Q45</f>
      </c>
      <c r="J29">
        <f t="shared" si="1"/>
        <v>10</v>
      </c>
      <c r="K29" t="str">
        <f t="shared" si="0"/>
        <v> listopada </v>
      </c>
      <c r="L29">
        <f t="shared" si="2"/>
        <v>1901</v>
      </c>
    </row>
    <row r="30" spans="2:12" ht="15">
      <c r="B30" s="10">
        <f>unos!O46</f>
      </c>
      <c r="C30" s="11">
        <f>unos!P46</f>
      </c>
      <c r="D30" s="196">
        <f t="shared" si="3"/>
      </c>
      <c r="E30" s="196"/>
      <c r="F30" s="13">
        <f>unos!Q46</f>
      </c>
      <c r="J30">
        <f t="shared" si="1"/>
        <v>11</v>
      </c>
      <c r="K30" t="str">
        <f t="shared" si="0"/>
        <v> studenog </v>
      </c>
      <c r="L30">
        <f t="shared" si="2"/>
        <v>1901</v>
      </c>
    </row>
    <row r="31" spans="2:12" ht="15">
      <c r="B31" s="10">
        <f>unos!O47</f>
      </c>
      <c r="C31" s="11">
        <f>unos!P47</f>
      </c>
      <c r="D31" s="196">
        <f t="shared" si="3"/>
      </c>
      <c r="E31" s="196"/>
      <c r="F31" s="13">
        <f>unos!Q47</f>
      </c>
      <c r="J31">
        <f t="shared" si="1"/>
        <v>12</v>
      </c>
      <c r="K31" t="str">
        <f t="shared" si="0"/>
        <v> prosinca </v>
      </c>
      <c r="L31">
        <f t="shared" si="2"/>
        <v>1901</v>
      </c>
    </row>
    <row r="32" spans="2:12" ht="15">
      <c r="B32" s="10">
        <f>unos!O48</f>
      </c>
      <c r="C32" s="11">
        <f>unos!P48</f>
      </c>
      <c r="D32" s="196">
        <f t="shared" si="3"/>
      </c>
      <c r="E32" s="196"/>
      <c r="F32" s="13">
        <f>unos!Q48</f>
      </c>
      <c r="J32">
        <f t="shared" si="1"/>
        <v>1</v>
      </c>
      <c r="K32" t="str">
        <f t="shared" si="0"/>
        <v> siječnja </v>
      </c>
      <c r="L32">
        <f t="shared" si="2"/>
        <v>1902</v>
      </c>
    </row>
    <row r="33" spans="2:12" ht="15">
      <c r="B33" s="10">
        <f>unos!O49</f>
      </c>
      <c r="C33" s="11">
        <f>unos!P49</f>
      </c>
      <c r="D33" s="196">
        <f t="shared" si="3"/>
      </c>
      <c r="E33" s="196"/>
      <c r="F33" s="13">
        <f>unos!Q49</f>
      </c>
      <c r="J33">
        <f t="shared" si="1"/>
        <v>2</v>
      </c>
      <c r="K33" t="str">
        <f t="shared" si="0"/>
        <v> veljače </v>
      </c>
      <c r="L33">
        <f t="shared" si="2"/>
        <v>1902</v>
      </c>
    </row>
    <row r="34" spans="2:12" ht="15">
      <c r="B34" s="10">
        <f>unos!O50</f>
      </c>
      <c r="C34" s="11">
        <f>unos!P50</f>
      </c>
      <c r="D34" s="196">
        <f t="shared" si="3"/>
      </c>
      <c r="E34" s="196"/>
      <c r="F34" s="13">
        <f>unos!Q50</f>
      </c>
      <c r="J34">
        <f t="shared" si="1"/>
        <v>3</v>
      </c>
      <c r="K34" t="str">
        <f t="shared" si="0"/>
        <v> ožujka </v>
      </c>
      <c r="L34">
        <f t="shared" si="2"/>
        <v>1902</v>
      </c>
    </row>
    <row r="35" spans="2:12" ht="15">
      <c r="B35" s="10">
        <f>unos!O51</f>
      </c>
      <c r="C35" s="11">
        <f>unos!P51</f>
      </c>
      <c r="D35" s="196">
        <f t="shared" si="3"/>
      </c>
      <c r="E35" s="196"/>
      <c r="F35" s="13">
        <f>unos!Q51</f>
      </c>
      <c r="J35">
        <f t="shared" si="1"/>
        <v>4</v>
      </c>
      <c r="K35" t="str">
        <f t="shared" si="0"/>
        <v> travnja </v>
      </c>
      <c r="L35">
        <f t="shared" si="2"/>
        <v>1902</v>
      </c>
    </row>
    <row r="36" spans="2:12" ht="15">
      <c r="B36" s="10">
        <f>unos!O52</f>
      </c>
      <c r="C36" s="11">
        <f>unos!P52</f>
      </c>
      <c r="D36" s="196">
        <f t="shared" si="3"/>
      </c>
      <c r="E36" s="196"/>
      <c r="F36" s="13">
        <f>unos!Q52</f>
      </c>
      <c r="J36">
        <f t="shared" si="1"/>
        <v>5</v>
      </c>
      <c r="K36" t="str">
        <f t="shared" si="0"/>
        <v> svibnja </v>
      </c>
      <c r="L36">
        <f t="shared" si="2"/>
        <v>1902</v>
      </c>
    </row>
    <row r="37" spans="2:12" ht="15">
      <c r="B37" s="10">
        <f>unos!O53</f>
      </c>
      <c r="C37" s="11">
        <f>unos!P53</f>
      </c>
      <c r="D37" s="196">
        <f t="shared" si="3"/>
      </c>
      <c r="E37" s="196"/>
      <c r="F37" s="13">
        <f>unos!Q53</f>
      </c>
      <c r="J37">
        <f t="shared" si="1"/>
        <v>6</v>
      </c>
      <c r="K37" t="str">
        <f t="shared" si="0"/>
        <v> lipnja </v>
      </c>
      <c r="L37">
        <f t="shared" si="2"/>
        <v>1902</v>
      </c>
    </row>
    <row r="38" spans="2:12" ht="15">
      <c r="B38" s="10">
        <f>unos!O54</f>
      </c>
      <c r="C38" s="11">
        <f>unos!P54</f>
      </c>
      <c r="D38" s="196">
        <f t="shared" si="3"/>
      </c>
      <c r="E38" s="196"/>
      <c r="F38" s="13">
        <f>unos!Q54</f>
      </c>
      <c r="J38">
        <f t="shared" si="1"/>
        <v>7</v>
      </c>
      <c r="K38" t="str">
        <f t="shared" si="0"/>
        <v> srpnja </v>
      </c>
      <c r="L38">
        <f t="shared" si="2"/>
        <v>1902</v>
      </c>
    </row>
    <row r="39" spans="2:12" ht="15">
      <c r="B39" s="10">
        <f>unos!O55</f>
      </c>
      <c r="C39" s="11">
        <f>unos!P55</f>
      </c>
      <c r="D39" s="196">
        <f t="shared" si="3"/>
      </c>
      <c r="E39" s="196"/>
      <c r="F39" s="13">
        <f>unos!Q55</f>
      </c>
      <c r="J39">
        <f t="shared" si="1"/>
        <v>8</v>
      </c>
      <c r="K39" t="str">
        <f t="shared" si="0"/>
        <v> kolovoza </v>
      </c>
      <c r="L39">
        <f t="shared" si="2"/>
        <v>1902</v>
      </c>
    </row>
    <row r="40" spans="2:12" ht="15">
      <c r="B40" s="10">
        <f>unos!O56</f>
      </c>
      <c r="C40" s="11">
        <f>unos!P56</f>
      </c>
      <c r="D40" s="196">
        <f t="shared" si="3"/>
      </c>
      <c r="E40" s="196"/>
      <c r="F40" s="13">
        <f>unos!Q56</f>
      </c>
      <c r="J40">
        <f t="shared" si="1"/>
        <v>9</v>
      </c>
      <c r="K40" t="str">
        <f t="shared" si="0"/>
        <v> rujna </v>
      </c>
      <c r="L40">
        <f t="shared" si="2"/>
        <v>1902</v>
      </c>
    </row>
    <row r="41" spans="2:12" ht="15">
      <c r="B41" s="10">
        <f>unos!O57</f>
      </c>
      <c r="C41" s="11">
        <f>unos!P57</f>
      </c>
      <c r="D41" s="196">
        <f t="shared" si="3"/>
      </c>
      <c r="E41" s="196"/>
      <c r="F41" s="13">
        <f>unos!Q57</f>
      </c>
      <c r="J41">
        <f t="shared" si="1"/>
        <v>10</v>
      </c>
      <c r="K41" t="str">
        <f t="shared" si="0"/>
        <v> listopada </v>
      </c>
      <c r="L41">
        <f t="shared" si="2"/>
        <v>1902</v>
      </c>
    </row>
    <row r="42" spans="2:12" ht="15">
      <c r="B42" s="10">
        <f>unos!O58</f>
      </c>
      <c r="C42" s="11">
        <f>unos!P58</f>
      </c>
      <c r="D42" s="196">
        <f t="shared" si="3"/>
      </c>
      <c r="E42" s="196"/>
      <c r="F42" s="13">
        <f>unos!Q58</f>
      </c>
      <c r="J42">
        <f t="shared" si="1"/>
        <v>11</v>
      </c>
      <c r="K42" t="str">
        <f t="shared" si="0"/>
        <v> studenog </v>
      </c>
      <c r="L42">
        <f t="shared" si="2"/>
        <v>1902</v>
      </c>
    </row>
    <row r="43" spans="2:12" ht="15">
      <c r="B43" s="10">
        <f>unos!O59</f>
      </c>
      <c r="C43" s="11">
        <f>unos!P59</f>
      </c>
      <c r="D43" s="196">
        <f t="shared" si="3"/>
      </c>
      <c r="E43" s="196"/>
      <c r="F43" s="13">
        <f>unos!Q59</f>
      </c>
      <c r="J43">
        <f t="shared" si="1"/>
        <v>12</v>
      </c>
      <c r="K43" t="str">
        <f t="shared" si="0"/>
        <v> prosinca </v>
      </c>
      <c r="L43">
        <f t="shared" si="2"/>
        <v>1902</v>
      </c>
    </row>
    <row r="44" spans="2:12" ht="15">
      <c r="B44" s="10">
        <f>unos!O60</f>
      </c>
      <c r="C44" s="11">
        <f>unos!P60</f>
      </c>
      <c r="D44" s="196">
        <f t="shared" si="3"/>
      </c>
      <c r="E44" s="196"/>
      <c r="F44" s="13">
        <f>unos!Q60</f>
      </c>
      <c r="J44">
        <f t="shared" si="1"/>
        <v>1</v>
      </c>
      <c r="K44" t="str">
        <f t="shared" si="0"/>
        <v> siječnja </v>
      </c>
      <c r="L44">
        <f t="shared" si="2"/>
        <v>1903</v>
      </c>
    </row>
    <row r="45" spans="2:12" ht="15">
      <c r="B45" s="10">
        <f>unos!O61</f>
      </c>
      <c r="C45" s="11">
        <f>unos!P61</f>
      </c>
      <c r="D45" s="196">
        <f t="shared" si="3"/>
      </c>
      <c r="E45" s="196"/>
      <c r="F45" s="13">
        <f>unos!Q61</f>
      </c>
      <c r="J45">
        <f t="shared" si="1"/>
        <v>2</v>
      </c>
      <c r="K45" t="str">
        <f t="shared" si="0"/>
        <v> veljače </v>
      </c>
      <c r="L45">
        <f t="shared" si="2"/>
        <v>1903</v>
      </c>
    </row>
    <row r="46" spans="2:12" ht="15">
      <c r="B46" s="10">
        <f>unos!O62</f>
      </c>
      <c r="C46" s="11">
        <f>unos!P62</f>
      </c>
      <c r="D46" s="196">
        <f t="shared" si="3"/>
      </c>
      <c r="E46" s="196"/>
      <c r="F46" s="13">
        <f>unos!Q62</f>
      </c>
      <c r="J46">
        <f t="shared" si="1"/>
        <v>3</v>
      </c>
      <c r="K46" t="str">
        <f t="shared" si="0"/>
        <v> ožujka </v>
      </c>
      <c r="L46">
        <f t="shared" si="2"/>
        <v>1903</v>
      </c>
    </row>
    <row r="47" spans="2:12" ht="15">
      <c r="B47" s="10">
        <f>unos!O63</f>
      </c>
      <c r="C47" s="11">
        <f>unos!P63</f>
      </c>
      <c r="D47" s="196">
        <f t="shared" si="3"/>
      </c>
      <c r="E47" s="196"/>
      <c r="F47" s="13">
        <f>unos!Q63</f>
      </c>
      <c r="J47">
        <f t="shared" si="1"/>
        <v>4</v>
      </c>
      <c r="K47" t="str">
        <f t="shared" si="0"/>
        <v> travnja </v>
      </c>
      <c r="L47">
        <f t="shared" si="2"/>
        <v>1903</v>
      </c>
    </row>
    <row r="48" spans="2:12" ht="15">
      <c r="B48" s="10">
        <f>unos!O64</f>
      </c>
      <c r="C48" s="11">
        <f>unos!P64</f>
      </c>
      <c r="D48" s="196">
        <f t="shared" si="3"/>
      </c>
      <c r="E48" s="196"/>
      <c r="F48" s="13">
        <f>unos!Q64</f>
      </c>
      <c r="J48">
        <f t="shared" si="1"/>
        <v>5</v>
      </c>
      <c r="K48" t="str">
        <f t="shared" si="0"/>
        <v> svibnja </v>
      </c>
      <c r="L48">
        <f t="shared" si="2"/>
        <v>1903</v>
      </c>
    </row>
    <row r="49" spans="2:12" ht="15">
      <c r="B49" s="10">
        <f>unos!O65</f>
      </c>
      <c r="C49" s="11">
        <f>unos!P65</f>
      </c>
      <c r="D49" s="196">
        <f t="shared" si="3"/>
      </c>
      <c r="E49" s="196"/>
      <c r="F49" s="13">
        <f>unos!Q65</f>
      </c>
      <c r="J49">
        <f t="shared" si="1"/>
        <v>6</v>
      </c>
      <c r="K49" t="str">
        <f t="shared" si="0"/>
        <v> lipnja </v>
      </c>
      <c r="L49">
        <f t="shared" si="2"/>
        <v>1903</v>
      </c>
    </row>
    <row r="50" spans="2:12" ht="15">
      <c r="B50" s="10">
        <f>unos!O66</f>
      </c>
      <c r="C50" s="11">
        <f>unos!P66</f>
      </c>
      <c r="D50" s="196">
        <f t="shared" si="3"/>
      </c>
      <c r="E50" s="196"/>
      <c r="F50" s="13">
        <f>unos!Q66</f>
      </c>
      <c r="J50">
        <f t="shared" si="1"/>
        <v>7</v>
      </c>
      <c r="K50" t="str">
        <f t="shared" si="0"/>
        <v> srpnja </v>
      </c>
      <c r="L50">
        <f t="shared" si="2"/>
        <v>1903</v>
      </c>
    </row>
    <row r="51" spans="2:12" ht="15">
      <c r="B51" s="10">
        <f>unos!O67</f>
      </c>
      <c r="C51" s="11">
        <f>unos!P67</f>
      </c>
      <c r="D51" s="196">
        <f t="shared" si="3"/>
      </c>
      <c r="E51" s="196"/>
      <c r="F51" s="13">
        <f>unos!Q67</f>
      </c>
      <c r="J51">
        <f t="shared" si="1"/>
        <v>8</v>
      </c>
      <c r="K51" t="str">
        <f t="shared" si="0"/>
        <v> kolovoza </v>
      </c>
      <c r="L51">
        <f t="shared" si="2"/>
        <v>1903</v>
      </c>
    </row>
    <row r="52" spans="2:12" ht="15">
      <c r="B52" s="10">
        <f>unos!O68</f>
      </c>
      <c r="C52" s="11">
        <f>unos!P68</f>
      </c>
      <c r="D52" s="196">
        <f t="shared" si="3"/>
      </c>
      <c r="E52" s="196"/>
      <c r="F52" s="13">
        <f>unos!Q68</f>
      </c>
      <c r="J52">
        <f t="shared" si="1"/>
        <v>9</v>
      </c>
      <c r="K52" t="str">
        <f t="shared" si="0"/>
        <v> rujna </v>
      </c>
      <c r="L52">
        <f t="shared" si="2"/>
        <v>1903</v>
      </c>
    </row>
    <row r="53" spans="2:12" ht="15">
      <c r="B53" s="10">
        <f>unos!O69</f>
      </c>
      <c r="C53" s="11">
        <f>unos!P69</f>
      </c>
      <c r="D53" s="196">
        <f t="shared" si="3"/>
      </c>
      <c r="E53" s="196"/>
      <c r="F53" s="13">
        <f>unos!Q69</f>
      </c>
      <c r="J53">
        <f t="shared" si="1"/>
        <v>10</v>
      </c>
      <c r="K53" t="str">
        <f t="shared" si="0"/>
        <v> listopada </v>
      </c>
      <c r="L53">
        <f t="shared" si="2"/>
        <v>1903</v>
      </c>
    </row>
    <row r="54" spans="2:12" ht="15">
      <c r="B54" s="10">
        <f>unos!O70</f>
      </c>
      <c r="C54" s="11">
        <f>unos!P70</f>
      </c>
      <c r="D54" s="196">
        <f t="shared" si="3"/>
      </c>
      <c r="E54" s="196"/>
      <c r="F54" s="13">
        <f>unos!Q70</f>
      </c>
      <c r="J54">
        <f t="shared" si="1"/>
        <v>11</v>
      </c>
      <c r="K54" t="str">
        <f t="shared" si="0"/>
        <v> studenog </v>
      </c>
      <c r="L54">
        <f t="shared" si="2"/>
        <v>1903</v>
      </c>
    </row>
    <row r="55" spans="2:12" ht="15">
      <c r="B55" s="10">
        <f>unos!O71</f>
      </c>
      <c r="C55" s="11">
        <f>unos!P71</f>
      </c>
      <c r="D55" s="196">
        <f t="shared" si="3"/>
      </c>
      <c r="E55" s="196"/>
      <c r="F55" s="13">
        <f>unos!Q71</f>
      </c>
      <c r="J55">
        <f t="shared" si="1"/>
        <v>12</v>
      </c>
      <c r="K55" t="str">
        <f t="shared" si="0"/>
        <v> prosinca </v>
      </c>
      <c r="L55">
        <f t="shared" si="2"/>
        <v>1903</v>
      </c>
    </row>
    <row r="56" spans="2:12" ht="15">
      <c r="B56" s="10">
        <f>unos!O72</f>
      </c>
      <c r="C56" s="11">
        <f>unos!P72</f>
      </c>
      <c r="D56" s="196">
        <f t="shared" si="3"/>
      </c>
      <c r="E56" s="196"/>
      <c r="F56" s="13">
        <f>unos!Q72</f>
      </c>
      <c r="J56">
        <f t="shared" si="1"/>
        <v>1</v>
      </c>
      <c r="K56" t="str">
        <f t="shared" si="0"/>
        <v> siječnja </v>
      </c>
      <c r="L56">
        <f t="shared" si="2"/>
        <v>1904</v>
      </c>
    </row>
    <row r="57" spans="2:12" ht="15">
      <c r="B57" s="10">
        <f>unos!O73</f>
      </c>
      <c r="C57" s="11">
        <f>unos!P73</f>
      </c>
      <c r="D57" s="196">
        <f t="shared" si="3"/>
      </c>
      <c r="E57" s="196"/>
      <c r="F57" s="13">
        <f>unos!Q73</f>
      </c>
      <c r="J57">
        <f t="shared" si="1"/>
        <v>2</v>
      </c>
      <c r="K57" t="str">
        <f t="shared" si="0"/>
        <v> veljače </v>
      </c>
      <c r="L57">
        <f t="shared" si="2"/>
        <v>1904</v>
      </c>
    </row>
    <row r="58" spans="2:12" ht="15">
      <c r="B58" s="10">
        <f>unos!O74</f>
      </c>
      <c r="C58" s="11">
        <f>unos!P74</f>
      </c>
      <c r="D58" s="196">
        <f t="shared" si="3"/>
      </c>
      <c r="E58" s="196"/>
      <c r="F58" s="13">
        <f>unos!Q74</f>
      </c>
      <c r="J58">
        <f t="shared" si="1"/>
        <v>3</v>
      </c>
      <c r="K58" t="str">
        <f t="shared" si="0"/>
        <v> ožujka </v>
      </c>
      <c r="L58">
        <f t="shared" si="2"/>
        <v>1904</v>
      </c>
    </row>
    <row r="59" spans="2:12" ht="15">
      <c r="B59" s="10">
        <f>unos!O75</f>
      </c>
      <c r="C59" s="11">
        <f>unos!P75</f>
      </c>
      <c r="D59" s="196">
        <f t="shared" si="3"/>
      </c>
      <c r="E59" s="196"/>
      <c r="F59" s="13">
        <f>unos!Q75</f>
      </c>
      <c r="J59">
        <f t="shared" si="1"/>
        <v>4</v>
      </c>
      <c r="K59" t="str">
        <f t="shared" si="0"/>
        <v> travnja </v>
      </c>
      <c r="L59">
        <f t="shared" si="2"/>
        <v>1904</v>
      </c>
    </row>
    <row r="60" spans="2:12" ht="15">
      <c r="B60" s="10">
        <f>unos!O76</f>
      </c>
      <c r="C60" s="11">
        <f>unos!P76</f>
      </c>
      <c r="D60" s="196">
        <f t="shared" si="3"/>
      </c>
      <c r="E60" s="196"/>
      <c r="F60" s="13">
        <f>unos!Q76</f>
      </c>
      <c r="J60">
        <f t="shared" si="1"/>
        <v>5</v>
      </c>
      <c r="K60" t="str">
        <f t="shared" si="0"/>
        <v> svibnja </v>
      </c>
      <c r="L60">
        <f t="shared" si="2"/>
        <v>1904</v>
      </c>
    </row>
    <row r="61" spans="2:12" ht="15">
      <c r="B61" s="10">
        <f>unos!O77</f>
      </c>
      <c r="C61" s="11">
        <f>unos!P77</f>
      </c>
      <c r="D61" s="196">
        <f t="shared" si="3"/>
      </c>
      <c r="E61" s="196"/>
      <c r="F61" s="13">
        <f>unos!Q77</f>
      </c>
      <c r="J61">
        <f t="shared" si="1"/>
        <v>6</v>
      </c>
      <c r="K61" t="str">
        <f t="shared" si="0"/>
        <v> lipnja </v>
      </c>
      <c r="L61">
        <f t="shared" si="2"/>
        <v>1904</v>
      </c>
    </row>
    <row r="62" spans="2:12" ht="15">
      <c r="B62" s="10">
        <f>unos!O78</f>
      </c>
      <c r="C62" s="11">
        <f>unos!P78</f>
      </c>
      <c r="D62" s="196">
        <f t="shared" si="3"/>
      </c>
      <c r="E62" s="196"/>
      <c r="F62" s="13">
        <f>unos!Q78</f>
      </c>
      <c r="J62">
        <f t="shared" si="1"/>
        <v>7</v>
      </c>
      <c r="K62" t="str">
        <f t="shared" si="0"/>
        <v> srpnja </v>
      </c>
      <c r="L62">
        <f t="shared" si="2"/>
        <v>1904</v>
      </c>
    </row>
    <row r="63" spans="2:12" ht="15">
      <c r="B63" s="10">
        <f>unos!O79</f>
      </c>
      <c r="C63" s="11">
        <f>unos!P79</f>
      </c>
      <c r="D63" s="196">
        <f t="shared" si="3"/>
      </c>
      <c r="E63" s="196"/>
      <c r="F63" s="13">
        <f>unos!Q79</f>
      </c>
      <c r="J63">
        <f t="shared" si="1"/>
        <v>8</v>
      </c>
      <c r="K63" t="str">
        <f t="shared" si="0"/>
        <v> kolovoza </v>
      </c>
      <c r="L63">
        <f t="shared" si="2"/>
        <v>1904</v>
      </c>
    </row>
    <row r="64" spans="2:12" ht="15">
      <c r="B64" s="10">
        <f>unos!O80</f>
      </c>
      <c r="C64" s="11">
        <f>unos!P80</f>
      </c>
      <c r="D64" s="196">
        <f t="shared" si="3"/>
      </c>
      <c r="E64" s="196"/>
      <c r="F64" s="13">
        <f>unos!Q80</f>
      </c>
      <c r="J64">
        <f t="shared" si="1"/>
        <v>9</v>
      </c>
      <c r="K64" t="str">
        <f t="shared" si="0"/>
        <v> rujna </v>
      </c>
      <c r="L64">
        <f t="shared" si="2"/>
        <v>1904</v>
      </c>
    </row>
    <row r="65" spans="2:12" ht="15">
      <c r="B65" s="10">
        <f>unos!O81</f>
      </c>
      <c r="C65" s="11">
        <f>unos!P81</f>
      </c>
      <c r="D65" s="196">
        <f t="shared" si="3"/>
      </c>
      <c r="E65" s="196"/>
      <c r="F65" s="13">
        <f>unos!Q81</f>
      </c>
      <c r="J65">
        <f t="shared" si="1"/>
        <v>10</v>
      </c>
      <c r="K65" t="str">
        <f t="shared" si="0"/>
        <v> listopada </v>
      </c>
      <c r="L65">
        <f t="shared" si="2"/>
        <v>1904</v>
      </c>
    </row>
    <row r="66" spans="2:12" ht="15">
      <c r="B66" s="10">
        <f>unos!O82</f>
      </c>
      <c r="C66" s="11">
        <f>unos!P82</f>
      </c>
      <c r="D66" s="196">
        <f t="shared" si="3"/>
      </c>
      <c r="E66" s="196"/>
      <c r="F66" s="13">
        <f>unos!Q82</f>
      </c>
      <c r="J66">
        <f t="shared" si="1"/>
        <v>11</v>
      </c>
      <c r="K66" t="str">
        <f t="shared" si="0"/>
        <v> studenog </v>
      </c>
      <c r="L66">
        <f t="shared" si="2"/>
        <v>1904</v>
      </c>
    </row>
    <row r="67" spans="2:12" ht="15">
      <c r="B67" s="10">
        <f>unos!O83</f>
      </c>
      <c r="C67" s="11">
        <f>unos!P83</f>
      </c>
      <c r="D67" s="196">
        <f t="shared" si="3"/>
      </c>
      <c r="E67" s="196"/>
      <c r="F67" s="13">
        <f>unos!Q83</f>
      </c>
      <c r="J67">
        <f t="shared" si="1"/>
        <v>12</v>
      </c>
      <c r="K67" t="str">
        <f t="shared" si="0"/>
        <v> prosinca </v>
      </c>
      <c r="L67">
        <f t="shared" si="2"/>
        <v>1904</v>
      </c>
    </row>
    <row r="68" spans="2:12" ht="15">
      <c r="B68" s="10">
        <f>unos!O84</f>
      </c>
      <c r="C68" s="11">
        <f>unos!P84</f>
      </c>
      <c r="D68" s="196">
        <f t="shared" si="3"/>
      </c>
      <c r="E68" s="196"/>
      <c r="F68" s="13">
        <f>unos!Q84</f>
      </c>
      <c r="J68">
        <f t="shared" si="1"/>
        <v>1</v>
      </c>
      <c r="K68" t="str">
        <f t="shared" si="0"/>
        <v> siječnja </v>
      </c>
      <c r="L68">
        <f t="shared" si="2"/>
        <v>1905</v>
      </c>
    </row>
    <row r="69" spans="2:6" ht="15">
      <c r="B69" s="10"/>
      <c r="C69" s="11"/>
      <c r="D69" s="12"/>
      <c r="E69" s="12"/>
      <c r="F69" s="13"/>
    </row>
  </sheetData>
  <sheetProtection password="CBFF" sheet="1" objects="1" scenarios="1" selectLockedCells="1" selectUnlockedCells="1"/>
  <mergeCells count="67">
    <mergeCell ref="A3:F3"/>
    <mergeCell ref="A1:G1"/>
    <mergeCell ref="A5:F5"/>
    <mergeCell ref="D8:E8"/>
    <mergeCell ref="A6:C6"/>
    <mergeCell ref="D9:E9"/>
    <mergeCell ref="D10:E10"/>
    <mergeCell ref="A4:F4"/>
    <mergeCell ref="D22:E22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6:G6"/>
    <mergeCell ref="D34:E34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46:E46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68:E68"/>
    <mergeCell ref="D44:E44"/>
    <mergeCell ref="D45:E45"/>
    <mergeCell ref="D58:E58"/>
    <mergeCell ref="D47:E47"/>
    <mergeCell ref="D48:E48"/>
    <mergeCell ref="D49:E49"/>
    <mergeCell ref="D50:E50"/>
    <mergeCell ref="D51:E51"/>
    <mergeCell ref="D52:E52"/>
    <mergeCell ref="D62:E62"/>
    <mergeCell ref="D65:E65"/>
    <mergeCell ref="D66:E66"/>
    <mergeCell ref="D67:E67"/>
    <mergeCell ref="D63:E63"/>
    <mergeCell ref="D64:E64"/>
    <mergeCell ref="D53:E53"/>
    <mergeCell ref="D54:E54"/>
    <mergeCell ref="D55:E55"/>
    <mergeCell ref="D56:E56"/>
    <mergeCell ref="D57:E57"/>
    <mergeCell ref="D59:E59"/>
    <mergeCell ref="D60:E60"/>
    <mergeCell ref="D61:E61"/>
  </mergeCells>
  <conditionalFormatting sqref="B10:F68">
    <cfRule type="expression" priority="3" dxfId="6">
      <formula>$B10&lt;&gt;""</formula>
    </cfRule>
  </conditionalFormatting>
  <conditionalFormatting sqref="A1:G399">
    <cfRule type="expression" priority="1" dxfId="0">
      <formula>$B$2=1</formula>
    </cfRule>
  </conditionalFormatting>
  <printOptions/>
  <pageMargins left="0.48" right="0.37" top="0.48" bottom="0.49" header="0.21" footer="0.27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3:H16"/>
  <sheetViews>
    <sheetView showRowColHeaders="0" zoomScalePageLayoutView="0" workbookViewId="0" topLeftCell="A1">
      <selection activeCell="B4" sqref="B4:F4"/>
    </sheetView>
  </sheetViews>
  <sheetFormatPr defaultColWidth="9.140625" defaultRowHeight="15"/>
  <cols>
    <col min="2" max="2" width="17.00390625" style="0" customWidth="1"/>
    <col min="3" max="3" width="18.57421875" style="0" customWidth="1"/>
    <col min="4" max="4" width="16.7109375" style="0" customWidth="1"/>
    <col min="5" max="6" width="17.140625" style="0" customWidth="1"/>
  </cols>
  <sheetData>
    <row r="3" spans="1:8" ht="15">
      <c r="A3" s="92"/>
      <c r="B3" s="92"/>
      <c r="C3" s="92"/>
      <c r="D3" s="92"/>
      <c r="E3" s="92"/>
      <c r="F3" s="92"/>
      <c r="G3" s="92"/>
      <c r="H3" s="92"/>
    </row>
    <row r="4" spans="1:8" ht="15">
      <c r="A4" s="92"/>
      <c r="B4" s="206" t="s">
        <v>42</v>
      </c>
      <c r="C4" s="206"/>
      <c r="D4" s="206"/>
      <c r="E4" s="206"/>
      <c r="F4" s="206"/>
      <c r="G4" s="95"/>
      <c r="H4" s="95"/>
    </row>
    <row r="5" spans="1:8" ht="15">
      <c r="A5" s="92"/>
      <c r="B5" s="92"/>
      <c r="C5" s="92"/>
      <c r="D5" s="92"/>
      <c r="E5" s="92"/>
      <c r="F5" s="92"/>
      <c r="G5" s="92"/>
      <c r="H5" s="92"/>
    </row>
    <row r="6" spans="1:8" ht="15">
      <c r="A6" s="92"/>
      <c r="B6" s="207" t="str">
        <f>unos!B26</f>
        <v>Obujam zgrade (m3)</v>
      </c>
      <c r="C6" s="207" t="str">
        <f>unos!C26</f>
        <v>Jedinična vrijednost naknade po obujmu (kn/m3)</v>
      </c>
      <c r="D6" s="207" t="str">
        <f>unos!D26</f>
        <v>Koeficijent namjene</v>
      </c>
      <c r="E6" s="207" t="str">
        <f>unos!E26</f>
        <v>Koeficijent lokacije</v>
      </c>
      <c r="F6" s="207" t="str">
        <f>unos!F26</f>
        <v>Iznos naknade (kn)</v>
      </c>
      <c r="G6" s="92"/>
      <c r="H6" s="92"/>
    </row>
    <row r="7" spans="1:8" ht="15">
      <c r="A7" s="92"/>
      <c r="B7" s="208"/>
      <c r="C7" s="208"/>
      <c r="D7" s="208"/>
      <c r="E7" s="208"/>
      <c r="F7" s="208"/>
      <c r="G7" s="92"/>
      <c r="H7" s="92"/>
    </row>
    <row r="8" spans="1:8" ht="15">
      <c r="A8" s="92"/>
      <c r="B8" s="209"/>
      <c r="C8" s="209"/>
      <c r="D8" s="209"/>
      <c r="E8" s="209"/>
      <c r="F8" s="209"/>
      <c r="G8" s="92"/>
      <c r="H8" s="92"/>
    </row>
    <row r="9" spans="1:8" ht="15">
      <c r="A9" s="92"/>
      <c r="B9" s="96">
        <f>unos!B29</f>
        <v>0</v>
      </c>
      <c r="C9" s="97">
        <f>unos!C29</f>
        <v>4</v>
      </c>
      <c r="D9" s="98">
        <f>unos!D29</f>
        <v>0</v>
      </c>
      <c r="E9" s="99">
        <f>unos!E29</f>
        <v>0</v>
      </c>
      <c r="F9" s="100">
        <f>unos!F29</f>
        <v>0</v>
      </c>
      <c r="G9" s="92"/>
      <c r="H9" s="92"/>
    </row>
    <row r="10" spans="1:8" ht="15">
      <c r="A10" s="92"/>
      <c r="B10" s="101">
        <f>unos!B30</f>
        <v>0</v>
      </c>
      <c r="C10" s="102">
        <f>unos!C30</f>
        <v>10</v>
      </c>
      <c r="D10" s="103">
        <f>unos!D30</f>
        <v>0</v>
      </c>
      <c r="E10" s="104">
        <f>unos!E30</f>
        <v>0</v>
      </c>
      <c r="F10" s="105">
        <f>unos!F30</f>
        <v>0</v>
      </c>
      <c r="G10" s="92"/>
      <c r="H10" s="92"/>
    </row>
    <row r="11" spans="1:8" ht="15">
      <c r="A11" s="92"/>
      <c r="B11" s="101">
        <f>unos!B31</f>
        <v>0</v>
      </c>
      <c r="C11" s="102">
        <f>unos!C31</f>
        <v>30</v>
      </c>
      <c r="D11" s="103">
        <f>unos!D31</f>
        <v>0</v>
      </c>
      <c r="E11" s="104">
        <f>unos!E31</f>
        <v>0</v>
      </c>
      <c r="F11" s="105">
        <f>unos!F31</f>
        <v>0</v>
      </c>
      <c r="G11" s="92"/>
      <c r="H11" s="92"/>
    </row>
    <row r="12" spans="1:8" ht="15">
      <c r="A12" s="92"/>
      <c r="B12" s="106">
        <f>unos!B32</f>
        <v>0</v>
      </c>
      <c r="C12" s="107">
        <f>unos!C32</f>
        <v>75</v>
      </c>
      <c r="D12" s="108">
        <f>unos!D32</f>
        <v>0</v>
      </c>
      <c r="E12" s="109">
        <f>unos!E32</f>
        <v>0</v>
      </c>
      <c r="F12" s="110">
        <f>unos!F32</f>
        <v>0</v>
      </c>
      <c r="G12" s="92"/>
      <c r="H12" s="92"/>
    </row>
    <row r="13" spans="1:8" ht="15">
      <c r="A13" s="92"/>
      <c r="B13" s="117">
        <f>unos!B33</f>
        <v>0</v>
      </c>
      <c r="C13" s="93"/>
      <c r="D13" s="94"/>
      <c r="E13" s="115" t="str">
        <f>unos!E33</f>
        <v>Ukupno naknada</v>
      </c>
      <c r="F13" s="112">
        <f>unos!F33</f>
        <v>500</v>
      </c>
      <c r="G13" s="92"/>
      <c r="H13" s="92"/>
    </row>
    <row r="14" spans="1:8" ht="15">
      <c r="A14" s="92"/>
      <c r="B14" s="92"/>
      <c r="C14" s="92"/>
      <c r="D14" s="204">
        <f>unos!E34</f>
      </c>
      <c r="E14" s="204"/>
      <c r="F14" s="114">
        <f>unos!F34</f>
      </c>
      <c r="G14" s="92"/>
      <c r="H14" s="92"/>
    </row>
    <row r="15" spans="1:8" ht="15">
      <c r="A15" s="92"/>
      <c r="B15" s="92"/>
      <c r="C15" s="92"/>
      <c r="D15" s="205">
        <f>unos!E35</f>
      </c>
      <c r="E15" s="205"/>
      <c r="F15" s="113">
        <f>unos!F35</f>
      </c>
      <c r="G15" s="92"/>
      <c r="H15" s="92"/>
    </row>
    <row r="16" spans="1:8" ht="15">
      <c r="A16" s="92"/>
      <c r="B16" s="92"/>
      <c r="C16" s="92"/>
      <c r="D16" s="92"/>
      <c r="E16" s="111"/>
      <c r="F16" s="111"/>
      <c r="G16" s="92"/>
      <c r="H16" s="92"/>
    </row>
  </sheetData>
  <sheetProtection/>
  <mergeCells count="8">
    <mergeCell ref="D14:E14"/>
    <mergeCell ref="D15:E15"/>
    <mergeCell ref="B4:F4"/>
    <mergeCell ref="B6:B8"/>
    <mergeCell ref="C6:C8"/>
    <mergeCell ref="D6:D8"/>
    <mergeCell ref="E6:E8"/>
    <mergeCell ref="F6:F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Tomo</dc:creator>
  <cp:keywords/>
  <dc:description/>
  <cp:lastModifiedBy>Opcina Kaptol</cp:lastModifiedBy>
  <cp:lastPrinted>2012-09-06T10:49:06Z</cp:lastPrinted>
  <dcterms:created xsi:type="dcterms:W3CDTF">2012-09-04T12:27:18Z</dcterms:created>
  <dcterms:modified xsi:type="dcterms:W3CDTF">2012-09-10T13:33:16Z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